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atricia\Downloads\"/>
    </mc:Choice>
  </mc:AlternateContent>
  <bookViews>
    <workbookView xWindow="0" yWindow="0" windowWidth="23016" windowHeight="9168"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r:id="rId8"/>
    <sheet name="Opciones Tratamiento" sheetId="16" r:id="rId9"/>
    <sheet name="Hoja1" sheetId="11" state="hidden" r:id="rId10"/>
  </sheets>
  <calcPr calcId="162913"/>
  <pivotCaches>
    <pivotCache cacheId="0" r:id="rId11"/>
    <pivotCache cacheId="1"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1" l="1"/>
  <c r="S11" i="1" l="1"/>
  <c r="S12" i="1"/>
  <c r="J11" i="1"/>
  <c r="G26" i="21"/>
  <c r="V11" i="1" l="1"/>
  <c r="K11" i="1"/>
  <c r="M18" i="1"/>
  <c r="M28" i="1"/>
  <c r="M51" i="1"/>
  <c r="M33" i="1"/>
  <c r="M69" i="1"/>
  <c r="M36" i="1"/>
  <c r="M54" i="1"/>
  <c r="M34" i="1"/>
  <c r="M68" i="1"/>
  <c r="M30" i="1"/>
  <c r="M50" i="1"/>
  <c r="M63" i="1"/>
  <c r="M61" i="1"/>
  <c r="M48" i="1"/>
  <c r="M42" i="1"/>
  <c r="M43" i="1"/>
  <c r="M26" i="1"/>
  <c r="M31" i="1"/>
  <c r="M20" i="1"/>
  <c r="M32" i="1"/>
  <c r="M25" i="1"/>
  <c r="M45" i="1"/>
  <c r="M60" i="1"/>
  <c r="M55" i="1"/>
  <c r="M57" i="1"/>
  <c r="M22" i="1"/>
  <c r="M21" i="1"/>
  <c r="M52" i="1"/>
  <c r="M40" i="1"/>
  <c r="M37" i="1"/>
  <c r="M62" i="1"/>
  <c r="M39" i="1"/>
  <c r="M56" i="1"/>
  <c r="M58" i="1"/>
  <c r="M70" i="1"/>
  <c r="M49" i="1"/>
  <c r="M66" i="1"/>
  <c r="M19" i="1"/>
  <c r="M24" i="1"/>
  <c r="M46" i="1"/>
  <c r="M67" i="1"/>
  <c r="M27" i="1"/>
  <c r="M64" i="1"/>
  <c r="M38" i="1"/>
  <c r="M44" i="1"/>
  <c r="F221" i="13" l="1"/>
  <c r="F211" i="13"/>
  <c r="F212" i="13"/>
  <c r="F213" i="13"/>
  <c r="F214" i="13"/>
  <c r="F215" i="13"/>
  <c r="F216" i="13"/>
  <c r="F217" i="13"/>
  <c r="F218" i="13"/>
  <c r="F219" i="13"/>
  <c r="F220" i="13"/>
  <c r="F210" i="13"/>
  <c r="M14" i="1"/>
  <c r="M16" i="1"/>
  <c r="M15" i="1"/>
  <c r="M12" i="1"/>
  <c r="B221" i="13" a="1"/>
  <c r="M13" i="1"/>
  <c r="B221" i="13" l="1"/>
  <c r="S53" i="1"/>
  <c r="S48" i="1"/>
  <c r="S42"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V70" i="1" l="1"/>
  <c r="S70" i="1"/>
  <c r="V69" i="1"/>
  <c r="S69" i="1"/>
  <c r="V68" i="1"/>
  <c r="S68" i="1"/>
  <c r="V67" i="1"/>
  <c r="S67" i="1"/>
  <c r="V66" i="1"/>
  <c r="S66" i="1"/>
  <c r="V65" i="1"/>
  <c r="S65" i="1"/>
  <c r="J65" i="1"/>
  <c r="K65" i="1" s="1"/>
  <c r="V64" i="1"/>
  <c r="S64" i="1"/>
  <c r="V63" i="1"/>
  <c r="S63" i="1"/>
  <c r="V62" i="1"/>
  <c r="S62" i="1"/>
  <c r="V61" i="1"/>
  <c r="S61" i="1"/>
  <c r="V60" i="1"/>
  <c r="S60" i="1"/>
  <c r="V59" i="1"/>
  <c r="S59" i="1"/>
  <c r="J59" i="1"/>
  <c r="K59" i="1" s="1"/>
  <c r="V58" i="1"/>
  <c r="S58" i="1"/>
  <c r="V57" i="1"/>
  <c r="S57" i="1"/>
  <c r="V56" i="1"/>
  <c r="S56" i="1"/>
  <c r="V55" i="1"/>
  <c r="S55" i="1"/>
  <c r="V54" i="1"/>
  <c r="S54" i="1"/>
  <c r="AD54" i="1" s="1"/>
  <c r="V53" i="1"/>
  <c r="J53" i="1"/>
  <c r="K53" i="1" s="1"/>
  <c r="V52" i="1"/>
  <c r="S52" i="1"/>
  <c r="V51" i="1"/>
  <c r="S51" i="1"/>
  <c r="V50" i="1"/>
  <c r="S50" i="1"/>
  <c r="V49" i="1"/>
  <c r="S49" i="1"/>
  <c r="V48" i="1"/>
  <c r="V47" i="1"/>
  <c r="S47" i="1"/>
  <c r="AD48" i="1" s="1"/>
  <c r="J47" i="1"/>
  <c r="K47" i="1" s="1"/>
  <c r="V46" i="1"/>
  <c r="S46" i="1"/>
  <c r="V45" i="1"/>
  <c r="S45" i="1"/>
  <c r="V44" i="1"/>
  <c r="S44" i="1"/>
  <c r="V43" i="1"/>
  <c r="S43" i="1"/>
  <c r="V42" i="1"/>
  <c r="V41" i="1"/>
  <c r="S41" i="1"/>
  <c r="AD42" i="1" s="1"/>
  <c r="J41" i="1"/>
  <c r="K41" i="1" s="1"/>
  <c r="V40" i="1"/>
  <c r="S40" i="1"/>
  <c r="V39" i="1"/>
  <c r="S39" i="1"/>
  <c r="V38" i="1"/>
  <c r="S38" i="1"/>
  <c r="V37" i="1"/>
  <c r="S37" i="1"/>
  <c r="V36" i="1"/>
  <c r="S36" i="1"/>
  <c r="V35" i="1"/>
  <c r="S35" i="1"/>
  <c r="J35" i="1"/>
  <c r="K35" i="1" s="1"/>
  <c r="V34" i="1"/>
  <c r="S34" i="1"/>
  <c r="V33" i="1"/>
  <c r="S33" i="1"/>
  <c r="V32" i="1"/>
  <c r="S32" i="1"/>
  <c r="V31" i="1"/>
  <c r="S31" i="1"/>
  <c r="V30" i="1"/>
  <c r="S30" i="1"/>
  <c r="V29" i="1"/>
  <c r="S29" i="1"/>
  <c r="J29" i="1"/>
  <c r="K29" i="1" s="1"/>
  <c r="V28" i="1"/>
  <c r="S28" i="1"/>
  <c r="V27" i="1"/>
  <c r="S27" i="1"/>
  <c r="V26" i="1"/>
  <c r="S26" i="1"/>
  <c r="V25" i="1"/>
  <c r="S24" i="1"/>
  <c r="Z24" i="1" s="1"/>
  <c r="V23" i="1"/>
  <c r="S23" i="1"/>
  <c r="J23" i="1"/>
  <c r="K23" i="1" s="1"/>
  <c r="J17" i="1"/>
  <c r="S16" i="1"/>
  <c r="S15" i="1"/>
  <c r="S14" i="1"/>
  <c r="V22" i="1"/>
  <c r="S22" i="1"/>
  <c r="V21" i="1"/>
  <c r="S21" i="1"/>
  <c r="V20" i="1"/>
  <c r="S20" i="1"/>
  <c r="V19" i="1"/>
  <c r="S19" i="1"/>
  <c r="V18" i="1"/>
  <c r="S18" i="1"/>
  <c r="V17" i="1"/>
  <c r="S17" i="1"/>
  <c r="AD30" i="1" l="1"/>
  <c r="AD66" i="1"/>
  <c r="AD36" i="1"/>
  <c r="AD60" i="1"/>
  <c r="AD51" i="1"/>
  <c r="AC51" i="1" s="1"/>
  <c r="AD52" i="1"/>
  <c r="AC52" i="1" s="1"/>
  <c r="K17" i="1"/>
  <c r="Z65" i="1"/>
  <c r="Z59" i="1"/>
  <c r="Z53" i="1"/>
  <c r="Z47" i="1"/>
  <c r="Z51" i="1"/>
  <c r="Z52" i="1"/>
  <c r="Z41" i="1"/>
  <c r="Z35" i="1"/>
  <c r="Z29" i="1"/>
  <c r="Z23" i="1"/>
  <c r="Z17" i="1"/>
  <c r="AA65" i="1" l="1"/>
  <c r="AB65" i="1"/>
  <c r="Z66" i="1" s="1"/>
  <c r="AA66" i="1" s="1"/>
  <c r="AA59" i="1"/>
  <c r="AB59" i="1"/>
  <c r="Z60" i="1" s="1"/>
  <c r="AB60" i="1" s="1"/>
  <c r="Z61" i="1" s="1"/>
  <c r="AA53" i="1"/>
  <c r="AB53" i="1"/>
  <c r="Z54" i="1" s="1"/>
  <c r="AB54" i="1" s="1"/>
  <c r="Z55" i="1" s="1"/>
  <c r="AA52" i="1"/>
  <c r="AB52" i="1"/>
  <c r="AA51" i="1"/>
  <c r="AB51" i="1"/>
  <c r="AA47" i="1"/>
  <c r="AB47" i="1"/>
  <c r="AA41" i="1"/>
  <c r="AB41" i="1"/>
  <c r="Z42" i="1" s="1"/>
  <c r="AB42" i="1" s="1"/>
  <c r="Z43" i="1" s="1"/>
  <c r="AA35" i="1"/>
  <c r="AB35" i="1"/>
  <c r="AA29" i="1"/>
  <c r="AB29" i="1"/>
  <c r="Z30" i="1" s="1"/>
  <c r="AB30" i="1" s="1"/>
  <c r="Z31" i="1" s="1"/>
  <c r="AA31" i="1" s="1"/>
  <c r="AA23" i="1"/>
  <c r="AB23" i="1"/>
  <c r="AA24" i="1" s="1"/>
  <c r="AA17" i="1"/>
  <c r="AB17" i="1"/>
  <c r="Z18" i="1" s="1"/>
  <c r="AA60" i="1" l="1"/>
  <c r="AA54" i="1"/>
  <c r="AB24" i="1"/>
  <c r="Z25" i="1" s="1"/>
  <c r="AA25" i="1" s="1"/>
  <c r="AA42" i="1"/>
  <c r="AA30" i="1"/>
  <c r="AA43" i="1"/>
  <c r="AB43" i="1"/>
  <c r="AB61" i="1"/>
  <c r="Z62" i="1" s="1"/>
  <c r="AA61" i="1"/>
  <c r="AB55" i="1"/>
  <c r="Z56" i="1" s="1"/>
  <c r="AA55" i="1"/>
  <c r="AB66" i="1"/>
  <c r="Z67" i="1" s="1"/>
  <c r="Z36" i="1"/>
  <c r="Z48" i="1"/>
  <c r="Z49" i="1"/>
  <c r="AB3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E51" i="1"/>
  <c r="AE52" i="1"/>
  <c r="V12" i="1"/>
  <c r="V13" i="1"/>
  <c r="V14" i="1"/>
  <c r="V15" i="1"/>
  <c r="V16" i="1"/>
  <c r="AA62" i="1" l="1"/>
  <c r="AB62" i="1"/>
  <c r="AA56" i="1"/>
  <c r="AB56" i="1"/>
  <c r="Z57" i="1" s="1"/>
  <c r="AB25" i="1"/>
  <c r="Z26" i="1" s="1"/>
  <c r="AB26" i="1" s="1"/>
  <c r="AA49" i="1"/>
  <c r="AB49" i="1"/>
  <c r="Z50" i="1" s="1"/>
  <c r="AA67" i="1"/>
  <c r="AB67" i="1"/>
  <c r="Z68" i="1" s="1"/>
  <c r="AA48" i="1"/>
  <c r="AB48" i="1"/>
  <c r="Z44" i="1"/>
  <c r="AA36" i="1"/>
  <c r="AB36" i="1"/>
  <c r="Z37" i="1" s="1"/>
  <c r="AA37" i="1" s="1"/>
  <c r="Z33" i="1"/>
  <c r="AA33" i="1" s="1"/>
  <c r="Z32" i="1"/>
  <c r="AA18" i="1"/>
  <c r="AB18" i="1"/>
  <c r="Z19" i="1" s="1"/>
  <c r="AA19" i="1" s="1"/>
  <c r="AB37" i="1" l="1"/>
  <c r="Z38" i="1" s="1"/>
  <c r="AB38" i="1" s="1"/>
  <c r="Z39" i="1" s="1"/>
  <c r="AA57" i="1"/>
  <c r="AB57" i="1"/>
  <c r="Z58" i="1" s="1"/>
  <c r="Z63" i="1"/>
  <c r="Z64" i="1"/>
  <c r="AA26" i="1"/>
  <c r="AA44" i="1"/>
  <c r="AB44" i="1"/>
  <c r="Z45" i="1" s="1"/>
  <c r="AA45" i="1" s="1"/>
  <c r="AA50" i="1"/>
  <c r="AB50" i="1"/>
  <c r="Z27" i="1"/>
  <c r="AB68" i="1"/>
  <c r="AA68" i="1"/>
  <c r="AA32" i="1"/>
  <c r="AB32" i="1"/>
  <c r="AB33" i="1"/>
  <c r="Z34" i="1" s="1"/>
  <c r="AB19" i="1"/>
  <c r="Z20" i="1" s="1"/>
  <c r="AA20" i="1" s="1"/>
  <c r="S13" i="1"/>
  <c r="AA38" i="1" l="1"/>
  <c r="AA64" i="1"/>
  <c r="AB64" i="1"/>
  <c r="AA63" i="1"/>
  <c r="AB63" i="1"/>
  <c r="AA58" i="1"/>
  <c r="AB58" i="1"/>
  <c r="Z69" i="1"/>
  <c r="Z70" i="1"/>
  <c r="AB45" i="1"/>
  <c r="Z46" i="1" s="1"/>
  <c r="AA46" i="1" s="1"/>
  <c r="AB39" i="1"/>
  <c r="Z40" i="1" s="1"/>
  <c r="AA39" i="1"/>
  <c r="AA27" i="1"/>
  <c r="AB27" i="1"/>
  <c r="Z28" i="1" s="1"/>
  <c r="AA28" i="1" s="1"/>
  <c r="AA34" i="1"/>
  <c r="AB34" i="1"/>
  <c r="AB20" i="1"/>
  <c r="Z21" i="1" s="1"/>
  <c r="AB21" i="1" s="1"/>
  <c r="Z22" i="1" s="1"/>
  <c r="Z11" i="1"/>
  <c r="AA11" i="1" s="1"/>
  <c r="AA70" i="1" l="1"/>
  <c r="AB70" i="1"/>
  <c r="AA69" i="1"/>
  <c r="AB69" i="1"/>
  <c r="AA40" i="1"/>
  <c r="AB40" i="1"/>
  <c r="AB46" i="1"/>
  <c r="AB28" i="1"/>
  <c r="AA21" i="1"/>
  <c r="AA22" i="1"/>
  <c r="AB22" i="1"/>
  <c r="AB11" i="1" l="1"/>
  <c r="Z12" i="1" s="1"/>
  <c r="AA12" i="1" l="1"/>
  <c r="AB12" i="1" l="1"/>
  <c r="Z13" i="1" s="1"/>
  <c r="AA13" i="1" s="1"/>
  <c r="AB13" i="1" l="1"/>
  <c r="Z14" i="1" s="1"/>
  <c r="AB14" i="1" l="1"/>
  <c r="Z15" i="1" s="1"/>
  <c r="AA15" i="1" l="1"/>
  <c r="AB15" i="1"/>
  <c r="Z16" i="1" s="1"/>
  <c r="AA14" i="1"/>
  <c r="AA16" i="1" l="1"/>
  <c r="AB16" i="1"/>
  <c r="AD29" i="1" l="1"/>
  <c r="AC29" i="1" s="1"/>
  <c r="AD67" i="1"/>
  <c r="AD59" i="1"/>
  <c r="AD41" i="1"/>
  <c r="AC41" i="1" s="1"/>
  <c r="AD53" i="1"/>
  <c r="AC53" i="1" s="1"/>
  <c r="AD17" i="1"/>
  <c r="AD47" i="1"/>
  <c r="AC47" i="1" s="1"/>
  <c r="AD35" i="1"/>
  <c r="AC35" i="1" s="1"/>
  <c r="AC17" i="1" l="1"/>
  <c r="AD18" i="1"/>
  <c r="AC18" i="1" s="1"/>
  <c r="J40" i="19"/>
  <c r="V30" i="19"/>
  <c r="AH20" i="19"/>
  <c r="J30" i="19"/>
  <c r="V20" i="19"/>
  <c r="AH10" i="19"/>
  <c r="P10" i="19"/>
  <c r="AB50" i="19"/>
  <c r="J50" i="19"/>
  <c r="AB40" i="19"/>
  <c r="P30" i="19"/>
  <c r="V50" i="19"/>
  <c r="P50" i="19"/>
  <c r="AB10" i="19"/>
  <c r="AH30" i="19"/>
  <c r="AH40" i="19"/>
  <c r="J10" i="19"/>
  <c r="AB20" i="19"/>
  <c r="AH50" i="19"/>
  <c r="AE35" i="1"/>
  <c r="V10" i="19"/>
  <c r="P20" i="19"/>
  <c r="J20" i="19"/>
  <c r="P40" i="19"/>
  <c r="V40" i="19"/>
  <c r="AB30" i="19"/>
  <c r="J11" i="19"/>
  <c r="V11" i="19"/>
  <c r="AB21" i="19"/>
  <c r="P31" i="19"/>
  <c r="J31" i="19"/>
  <c r="AB41" i="19"/>
  <c r="AE41" i="1"/>
  <c r="AH41" i="19"/>
  <c r="P41" i="19"/>
  <c r="J21" i="19"/>
  <c r="AB31" i="19"/>
  <c r="AB51" i="19"/>
  <c r="P21" i="19"/>
  <c r="V41" i="19"/>
  <c r="V31" i="19"/>
  <c r="AH21" i="19"/>
  <c r="AB11" i="19"/>
  <c r="P51" i="19"/>
  <c r="V21" i="19"/>
  <c r="AH31" i="19"/>
  <c r="V51" i="19"/>
  <c r="J51" i="19"/>
  <c r="AH51" i="19"/>
  <c r="AH11" i="19"/>
  <c r="J41" i="19"/>
  <c r="P11" i="19"/>
  <c r="J47" i="19"/>
  <c r="V27" i="19"/>
  <c r="AH7" i="19"/>
  <c r="P47" i="19"/>
  <c r="AB27" i="19"/>
  <c r="J17" i="19"/>
  <c r="V47" i="19"/>
  <c r="J37" i="19"/>
  <c r="AE17" i="1"/>
  <c r="AB37" i="19"/>
  <c r="J27" i="19"/>
  <c r="V7" i="19"/>
  <c r="AH37" i="19"/>
  <c r="P27" i="19"/>
  <c r="AB7" i="19"/>
  <c r="P17" i="19"/>
  <c r="V17" i="19"/>
  <c r="AH47" i="19"/>
  <c r="P37" i="19"/>
  <c r="AB17" i="19"/>
  <c r="J7" i="19"/>
  <c r="V37" i="19"/>
  <c r="AH17" i="19"/>
  <c r="P7" i="19"/>
  <c r="AH27" i="19"/>
  <c r="AB47" i="19"/>
  <c r="AE53"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59" i="1"/>
  <c r="AC66" i="1"/>
  <c r="AE29"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D13" i="1"/>
  <c r="AC67" i="1"/>
  <c r="AD68" i="1"/>
  <c r="AD37" i="1"/>
  <c r="AC36" i="1"/>
  <c r="AC42" i="1"/>
  <c r="AD43" i="1"/>
  <c r="AC43" i="1" s="1"/>
  <c r="AD44" i="1"/>
  <c r="V32" i="19"/>
  <c r="P42" i="19"/>
  <c r="J12" i="19"/>
  <c r="J32" i="19"/>
  <c r="AB52" i="19"/>
  <c r="AE47" i="1"/>
  <c r="J22" i="19"/>
  <c r="V22" i="19"/>
  <c r="J52" i="19"/>
  <c r="AH12" i="19"/>
  <c r="J42" i="19"/>
  <c r="AH42" i="19"/>
  <c r="P32" i="19"/>
  <c r="AB12" i="19"/>
  <c r="AH32" i="19"/>
  <c r="AB32" i="19"/>
  <c r="AB42" i="19"/>
  <c r="V42" i="19"/>
  <c r="V12" i="19"/>
  <c r="V52" i="19"/>
  <c r="AB22" i="19"/>
  <c r="AH52" i="19"/>
  <c r="AH22" i="19"/>
  <c r="P22" i="19"/>
  <c r="P12" i="19"/>
  <c r="P52" i="19"/>
  <c r="AD49" i="1"/>
  <c r="AC49" i="1" s="1"/>
  <c r="AD50" i="1"/>
  <c r="AC50" i="1" s="1"/>
  <c r="AC48" i="1"/>
  <c r="AD19" i="1"/>
  <c r="AC54" i="1"/>
  <c r="AD55" i="1"/>
  <c r="AC60" i="1"/>
  <c r="AD61" i="1"/>
  <c r="AC30" i="1"/>
  <c r="AD31" i="1"/>
  <c r="W37" i="19" l="1"/>
  <c r="AI7" i="19"/>
  <c r="W17" i="19"/>
  <c r="W27" i="19"/>
  <c r="Q47" i="19"/>
  <c r="W7" i="19"/>
  <c r="AI17" i="19"/>
  <c r="K47" i="19"/>
  <c r="AI47" i="19"/>
  <c r="Q27" i="19"/>
  <c r="AC27" i="19"/>
  <c r="AC47" i="19"/>
  <c r="AC37" i="19"/>
  <c r="AI37" i="19"/>
  <c r="AE18" i="1"/>
  <c r="AC17" i="19"/>
  <c r="K37" i="19"/>
  <c r="AC7" i="19"/>
  <c r="W47" i="19"/>
  <c r="Q37" i="19"/>
  <c r="AI27" i="19"/>
  <c r="Q7" i="19"/>
  <c r="K27" i="19"/>
  <c r="K17" i="19"/>
  <c r="K7" i="19"/>
  <c r="Q17" i="19"/>
  <c r="AC68" i="1"/>
  <c r="AD69" i="1"/>
  <c r="K35" i="19"/>
  <c r="AC25" i="19"/>
  <c r="K45" i="19"/>
  <c r="AI45" i="19"/>
  <c r="W45" i="19"/>
  <c r="Q35" i="19"/>
  <c r="K55" i="19"/>
  <c r="AC15" i="19"/>
  <c r="Q15" i="19"/>
  <c r="AC35" i="19"/>
  <c r="AI35" i="19"/>
  <c r="Q55" i="19"/>
  <c r="AI25" i="19"/>
  <c r="AE66"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E60"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E42" i="1"/>
  <c r="AD55" i="19"/>
  <c r="R15" i="19"/>
  <c r="AJ35" i="19"/>
  <c r="AE67"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E59"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E49" i="1"/>
  <c r="AD12" i="19"/>
  <c r="AD32" i="19"/>
  <c r="AD22" i="19"/>
  <c r="X52" i="19"/>
  <c r="AD52" i="19"/>
  <c r="L42" i="19"/>
  <c r="R42" i="19"/>
  <c r="AJ21" i="19"/>
  <c r="AD31" i="19"/>
  <c r="R21" i="19"/>
  <c r="AD41" i="19"/>
  <c r="AJ11" i="19"/>
  <c r="AJ51" i="19"/>
  <c r="AE43" i="1"/>
  <c r="L41" i="19"/>
  <c r="AD11" i="19"/>
  <c r="L21" i="19"/>
  <c r="L11" i="19"/>
  <c r="X51" i="19"/>
  <c r="X21" i="19"/>
  <c r="R11" i="19"/>
  <c r="R31" i="19"/>
  <c r="AJ41" i="19"/>
  <c r="L31" i="19"/>
  <c r="R51" i="19"/>
  <c r="X31" i="19"/>
  <c r="X11" i="19"/>
  <c r="X41" i="19"/>
  <c r="AJ31" i="19"/>
  <c r="AD51" i="19"/>
  <c r="R41" i="19"/>
  <c r="AD21" i="19"/>
  <c r="L51" i="19"/>
  <c r="AD20" i="1"/>
  <c r="AC19" i="1"/>
  <c r="AC31" i="1"/>
  <c r="AD32" i="1"/>
  <c r="AC55" i="1"/>
  <c r="AD56" i="1"/>
  <c r="K42" i="19"/>
  <c r="AC32" i="19"/>
  <c r="W42" i="19"/>
  <c r="AI52" i="19"/>
  <c r="K22" i="19"/>
  <c r="Q32" i="19"/>
  <c r="AI12" i="19"/>
  <c r="AC52" i="19"/>
  <c r="Q42" i="19"/>
  <c r="AC42" i="19"/>
  <c r="K12" i="19"/>
  <c r="Q22" i="19"/>
  <c r="W52" i="19"/>
  <c r="AI42" i="19"/>
  <c r="W32" i="19"/>
  <c r="AI22" i="19"/>
  <c r="W12" i="19"/>
  <c r="AI32" i="19"/>
  <c r="AC12" i="19"/>
  <c r="Q12" i="19"/>
  <c r="Q52" i="19"/>
  <c r="AE48" i="1"/>
  <c r="K32" i="19"/>
  <c r="W22" i="19"/>
  <c r="K52" i="19"/>
  <c r="AC22" i="19"/>
  <c r="AC40" i="19"/>
  <c r="W10" i="19"/>
  <c r="AC50" i="19"/>
  <c r="Q10" i="19"/>
  <c r="Q30" i="19"/>
  <c r="W50" i="19"/>
  <c r="K40" i="19"/>
  <c r="Q50" i="19"/>
  <c r="W20" i="19"/>
  <c r="AE36" i="1"/>
  <c r="K10" i="19"/>
  <c r="Q40" i="19"/>
  <c r="K30" i="19"/>
  <c r="AI50" i="19"/>
  <c r="AI20" i="19"/>
  <c r="K50" i="19"/>
  <c r="AI40" i="19"/>
  <c r="W40" i="19"/>
  <c r="K20" i="19"/>
  <c r="AC10" i="19"/>
  <c r="AI10" i="19"/>
  <c r="AC20" i="19"/>
  <c r="AI30" i="19"/>
  <c r="AC30" i="19"/>
  <c r="W30" i="19"/>
  <c r="Q20" i="19"/>
  <c r="AD26" i="1"/>
  <c r="AC61" i="1"/>
  <c r="AD62" i="1"/>
  <c r="K39" i="19"/>
  <c r="AC39" i="19"/>
  <c r="W29" i="19"/>
  <c r="AI49" i="19"/>
  <c r="W9" i="19"/>
  <c r="AC19" i="19"/>
  <c r="Q49" i="19"/>
  <c r="W49" i="19"/>
  <c r="AC9" i="19"/>
  <c r="AI9" i="19"/>
  <c r="Q29" i="19"/>
  <c r="W39" i="19"/>
  <c r="Q39" i="19"/>
  <c r="AE30"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E54" i="1"/>
  <c r="Q33" i="19"/>
  <c r="AI23" i="19"/>
  <c r="K53" i="19"/>
  <c r="AC23" i="19"/>
  <c r="AC13" i="19"/>
  <c r="W23" i="19"/>
  <c r="W33" i="19"/>
  <c r="Q13" i="19"/>
  <c r="W13" i="19"/>
  <c r="AI13" i="19"/>
  <c r="Q43" i="19"/>
  <c r="Q23" i="19"/>
  <c r="W53" i="19"/>
  <c r="M12" i="19"/>
  <c r="AK42" i="19"/>
  <c r="AE32" i="19"/>
  <c r="AE50" i="1"/>
  <c r="M52" i="19"/>
  <c r="S12" i="19"/>
  <c r="M32" i="19"/>
  <c r="S52" i="19"/>
  <c r="Y52" i="19"/>
  <c r="Y42" i="19"/>
  <c r="AK12" i="19"/>
  <c r="S22" i="19"/>
  <c r="AE12" i="19"/>
  <c r="Y22" i="19"/>
  <c r="S32" i="19"/>
  <c r="AK52" i="19"/>
  <c r="M22" i="19"/>
  <c r="AK32" i="19"/>
  <c r="AE22" i="19"/>
  <c r="AE42" i="19"/>
  <c r="Y32" i="19"/>
  <c r="M42" i="19"/>
  <c r="Y12" i="19"/>
  <c r="AE52" i="19"/>
  <c r="AK22" i="19"/>
  <c r="S42" i="19"/>
  <c r="AC44" i="1"/>
  <c r="AD46" i="1"/>
  <c r="AC46" i="1" s="1"/>
  <c r="AD45" i="1"/>
  <c r="AC45" i="1" s="1"/>
  <c r="AC37" i="1"/>
  <c r="AD38" i="1"/>
  <c r="AD14" i="1"/>
  <c r="AC14" i="1" s="1"/>
  <c r="AC13" i="1"/>
  <c r="AD15" i="1"/>
  <c r="AC15" i="1" l="1"/>
  <c r="AD16" i="1"/>
  <c r="AC16" i="1" s="1"/>
  <c r="R40" i="19"/>
  <c r="AD10" i="19"/>
  <c r="X40" i="19"/>
  <c r="AJ10" i="19"/>
  <c r="R50" i="19"/>
  <c r="X10" i="19"/>
  <c r="R30" i="19"/>
  <c r="AE37" i="1"/>
  <c r="L10" i="19"/>
  <c r="L50" i="19"/>
  <c r="AJ20" i="19"/>
  <c r="AJ40" i="19"/>
  <c r="AD30" i="19"/>
  <c r="R20" i="19"/>
  <c r="AD50" i="19"/>
  <c r="AJ30" i="19"/>
  <c r="AJ50" i="19"/>
  <c r="X30" i="19"/>
  <c r="AD20" i="19"/>
  <c r="L40" i="19"/>
  <c r="X50" i="19"/>
  <c r="X20" i="19"/>
  <c r="AD40" i="19"/>
  <c r="R10" i="19"/>
  <c r="L30" i="19"/>
  <c r="L20" i="19"/>
  <c r="AC56" i="1"/>
  <c r="AD57" i="1"/>
  <c r="AC69" i="1"/>
  <c r="AD70" i="1"/>
  <c r="AC70" i="1" s="1"/>
  <c r="AD47" i="19"/>
  <c r="AJ27" i="19"/>
  <c r="AD27" i="19"/>
  <c r="AJ7" i="19"/>
  <c r="AJ37" i="19"/>
  <c r="L27" i="19"/>
  <c r="AD17" i="19"/>
  <c r="L37" i="19"/>
  <c r="R17" i="19"/>
  <c r="AJ17" i="19"/>
  <c r="X7" i="19"/>
  <c r="X47" i="19"/>
  <c r="L7" i="19"/>
  <c r="L17" i="19"/>
  <c r="R27" i="19"/>
  <c r="X27" i="19"/>
  <c r="R7" i="19"/>
  <c r="X17" i="19"/>
  <c r="AJ47" i="19"/>
  <c r="L47" i="19"/>
  <c r="R37" i="19"/>
  <c r="AD7" i="19"/>
  <c r="X37" i="19"/>
  <c r="AE19" i="1"/>
  <c r="R47" i="19"/>
  <c r="AD37" i="19"/>
  <c r="AD27" i="1"/>
  <c r="AC27" i="1" s="1"/>
  <c r="AC26" i="1"/>
  <c r="AD28" i="1"/>
  <c r="AC28" i="1" s="1"/>
  <c r="AJ43" i="19"/>
  <c r="AD33" i="19"/>
  <c r="X33" i="19"/>
  <c r="X13" i="19"/>
  <c r="AD43" i="19"/>
  <c r="L43" i="19"/>
  <c r="AE55" i="1"/>
  <c r="X23" i="19"/>
  <c r="R33" i="19"/>
  <c r="R43" i="19"/>
  <c r="AD53" i="19"/>
  <c r="AJ13" i="19"/>
  <c r="R23" i="19"/>
  <c r="R13" i="19"/>
  <c r="AJ53" i="19"/>
  <c r="L33" i="19"/>
  <c r="L23" i="19"/>
  <c r="X43" i="19"/>
  <c r="X53" i="19"/>
  <c r="AD13" i="19"/>
  <c r="L53" i="19"/>
  <c r="L13" i="19"/>
  <c r="AD23" i="19"/>
  <c r="AJ33" i="19"/>
  <c r="AJ23" i="19"/>
  <c r="R53" i="19"/>
  <c r="AC20" i="1"/>
  <c r="AD21" i="1"/>
  <c r="M55" i="19"/>
  <c r="AK15" i="19"/>
  <c r="AE25" i="19"/>
  <c r="AE68"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E45"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E14" i="1"/>
  <c r="O11" i="19"/>
  <c r="O21" i="19"/>
  <c r="O51" i="19"/>
  <c r="AA31" i="19"/>
  <c r="AM31" i="19"/>
  <c r="AG51" i="19"/>
  <c r="AA41" i="19"/>
  <c r="AM11" i="19"/>
  <c r="U21" i="19"/>
  <c r="AG41" i="19"/>
  <c r="AM21" i="19"/>
  <c r="AM51" i="19"/>
  <c r="O41" i="19"/>
  <c r="U11" i="19"/>
  <c r="AG31" i="19"/>
  <c r="U41" i="19"/>
  <c r="AE46" i="1"/>
  <c r="AG11" i="19"/>
  <c r="AM41" i="19"/>
  <c r="AA21" i="19"/>
  <c r="AA51" i="19"/>
  <c r="U51" i="19"/>
  <c r="U31" i="19"/>
  <c r="AA11" i="19"/>
  <c r="AG21" i="19"/>
  <c r="O31" i="19"/>
  <c r="AC62" i="1"/>
  <c r="AD63" i="1"/>
  <c r="AC32" i="1"/>
  <c r="AD33" i="1"/>
  <c r="AC33" i="1" s="1"/>
  <c r="AD34" i="1"/>
  <c r="AC34" i="1" s="1"/>
  <c r="AJ46" i="19"/>
  <c r="AD46" i="19"/>
  <c r="L36" i="19"/>
  <c r="X16" i="19"/>
  <c r="AJ26" i="19"/>
  <c r="L46" i="19"/>
  <c r="X6" i="19"/>
  <c r="R36" i="19"/>
  <c r="X36" i="19"/>
  <c r="R6" i="19"/>
  <c r="AJ6" i="19"/>
  <c r="AD36" i="19"/>
  <c r="R46" i="19"/>
  <c r="AD26" i="19"/>
  <c r="L16" i="19"/>
  <c r="AD16" i="19"/>
  <c r="AE13" i="1"/>
  <c r="X46" i="19"/>
  <c r="X26" i="19"/>
  <c r="AJ36" i="19"/>
  <c r="R26" i="19"/>
  <c r="AD6" i="19"/>
  <c r="L6" i="19"/>
  <c r="L26" i="19"/>
  <c r="R16" i="19"/>
  <c r="AJ16" i="19"/>
  <c r="AC38" i="1"/>
  <c r="AD39" i="1"/>
  <c r="AE11" i="19"/>
  <c r="Y41" i="19"/>
  <c r="M41" i="19"/>
  <c r="Y21" i="19"/>
  <c r="AK41" i="19"/>
  <c r="S31" i="19"/>
  <c r="M31" i="19"/>
  <c r="M51" i="19"/>
  <c r="Y51" i="19"/>
  <c r="AK21" i="19"/>
  <c r="AK31" i="19"/>
  <c r="Y11" i="19"/>
  <c r="AE41" i="19"/>
  <c r="AE21" i="19"/>
  <c r="S51" i="19"/>
  <c r="AE51" i="19"/>
  <c r="AK51" i="19"/>
  <c r="M21" i="19"/>
  <c r="AE31" i="19"/>
  <c r="AE44" i="1"/>
  <c r="S41" i="19"/>
  <c r="AK11" i="19"/>
  <c r="S11" i="19"/>
  <c r="Y31" i="19"/>
  <c r="S21" i="19"/>
  <c r="M11" i="19"/>
  <c r="L54" i="19"/>
  <c r="AJ14" i="19"/>
  <c r="AD44" i="19"/>
  <c r="X54" i="19"/>
  <c r="R14" i="19"/>
  <c r="AD24" i="19"/>
  <c r="AD34" i="19"/>
  <c r="R54" i="19"/>
  <c r="L34" i="19"/>
  <c r="AJ34" i="19"/>
  <c r="X24" i="19"/>
  <c r="AJ24" i="19"/>
  <c r="X44" i="19"/>
  <c r="R24" i="19"/>
  <c r="AE61" i="1"/>
  <c r="X34" i="19"/>
  <c r="L14" i="19"/>
  <c r="AD14" i="19"/>
  <c r="L44" i="19"/>
  <c r="R44" i="19"/>
  <c r="AD54" i="19"/>
  <c r="X14" i="19"/>
  <c r="AJ44" i="19"/>
  <c r="R34" i="19"/>
  <c r="AJ54" i="19"/>
  <c r="L24" i="19"/>
  <c r="AD29" i="19"/>
  <c r="AD19" i="19"/>
  <c r="R39" i="19"/>
  <c r="R9" i="19"/>
  <c r="X49" i="19"/>
  <c r="X9" i="19"/>
  <c r="AD39" i="19"/>
  <c r="R29" i="19"/>
  <c r="L49" i="19"/>
  <c r="X19" i="19"/>
  <c r="X29" i="19"/>
  <c r="X39" i="19"/>
  <c r="L9" i="19"/>
  <c r="AE31" i="1"/>
  <c r="AD9" i="19"/>
  <c r="AJ49" i="19"/>
  <c r="L39" i="19"/>
  <c r="R19" i="19"/>
  <c r="AJ39" i="19"/>
  <c r="AJ29" i="19"/>
  <c r="AJ19" i="19"/>
  <c r="AJ9" i="19"/>
  <c r="AD49" i="19"/>
  <c r="L19" i="19"/>
  <c r="L29" i="19"/>
  <c r="R49" i="19"/>
  <c r="AC39" i="1" l="1"/>
  <c r="AD40" i="1"/>
  <c r="AC40" i="1" s="1"/>
  <c r="AG39" i="19"/>
  <c r="AG29" i="19"/>
  <c r="AM19" i="19"/>
  <c r="O39" i="19"/>
  <c r="AE34"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62" i="1"/>
  <c r="AE24" i="19"/>
  <c r="S14" i="19"/>
  <c r="AK17" i="19"/>
  <c r="S27" i="19"/>
  <c r="S37" i="19"/>
  <c r="AE27" i="19"/>
  <c r="Y47" i="19"/>
  <c r="S7" i="19"/>
  <c r="M17" i="19"/>
  <c r="AE17" i="19"/>
  <c r="AK27" i="19"/>
  <c r="Y7" i="19"/>
  <c r="Y37" i="19"/>
  <c r="AE37" i="19"/>
  <c r="Y27" i="19"/>
  <c r="M47" i="19"/>
  <c r="AE20"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6" i="1"/>
  <c r="AE28" i="19"/>
  <c r="AA55" i="19"/>
  <c r="O45" i="19"/>
  <c r="AA15" i="19"/>
  <c r="AM55" i="19"/>
  <c r="O55" i="19"/>
  <c r="AG35" i="19"/>
  <c r="AM25" i="19"/>
  <c r="AM35" i="19"/>
  <c r="AA25" i="19"/>
  <c r="AM45" i="19"/>
  <c r="AG25" i="19"/>
  <c r="AA35" i="19"/>
  <c r="O25" i="19"/>
  <c r="U25" i="19"/>
  <c r="AG45" i="19"/>
  <c r="U35" i="19"/>
  <c r="AA45" i="19"/>
  <c r="AM15" i="19"/>
  <c r="U45" i="19"/>
  <c r="O35" i="19"/>
  <c r="O15" i="19"/>
  <c r="AE70" i="1"/>
  <c r="AG15" i="19"/>
  <c r="U15" i="19"/>
  <c r="AG55" i="19"/>
  <c r="U55" i="19"/>
  <c r="AE40" i="19"/>
  <c r="Y30" i="19"/>
  <c r="M20" i="19"/>
  <c r="AE38"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E33" i="1"/>
  <c r="T19" i="19"/>
  <c r="AL49" i="19"/>
  <c r="T29" i="19"/>
  <c r="AF29" i="19"/>
  <c r="T18" i="19"/>
  <c r="N48" i="19"/>
  <c r="N8" i="19"/>
  <c r="T28" i="19"/>
  <c r="AF38" i="19"/>
  <c r="Z28" i="19"/>
  <c r="Z18" i="19"/>
  <c r="AF8" i="19"/>
  <c r="AE27"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E69"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E32" i="1"/>
  <c r="M9" i="19"/>
  <c r="Y29" i="19"/>
  <c r="AC57" i="1"/>
  <c r="AD58" i="1"/>
  <c r="AC58" i="1" s="1"/>
  <c r="AM46" i="19"/>
  <c r="U36" i="19"/>
  <c r="AG16" i="19"/>
  <c r="O6" i="19"/>
  <c r="AA36" i="19"/>
  <c r="AM16" i="19"/>
  <c r="U6" i="19"/>
  <c r="AG46" i="19"/>
  <c r="AA16" i="19"/>
  <c r="AE16" i="1"/>
  <c r="AA6" i="19"/>
  <c r="AG6" i="19"/>
  <c r="AA46" i="19"/>
  <c r="AM26" i="19"/>
  <c r="U16" i="19"/>
  <c r="O36" i="19"/>
  <c r="U26" i="19"/>
  <c r="O46" i="19"/>
  <c r="AA26" i="19"/>
  <c r="AM6" i="19"/>
  <c r="U46" i="19"/>
  <c r="AG26" i="19"/>
  <c r="O16" i="19"/>
  <c r="AG36" i="19"/>
  <c r="O26" i="19"/>
  <c r="AM36" i="19"/>
  <c r="AC63" i="1"/>
  <c r="AD64" i="1"/>
  <c r="AC64" i="1" s="1"/>
  <c r="AD22" i="1"/>
  <c r="AC22" i="1" s="1"/>
  <c r="AC21" i="1"/>
  <c r="O8" i="19"/>
  <c r="AA48" i="19"/>
  <c r="AM38" i="19"/>
  <c r="U48" i="19"/>
  <c r="AA18" i="19"/>
  <c r="AG18" i="19"/>
  <c r="AG48" i="19"/>
  <c r="AM18" i="19"/>
  <c r="AA28" i="19"/>
  <c r="AG28" i="19"/>
  <c r="AA8" i="19"/>
  <c r="U18" i="19"/>
  <c r="AG38" i="19"/>
  <c r="U38" i="19"/>
  <c r="AM8" i="19"/>
  <c r="AA38" i="19"/>
  <c r="AM48" i="19"/>
  <c r="U28" i="19"/>
  <c r="O38" i="19"/>
  <c r="U8" i="19"/>
  <c r="AG8" i="19"/>
  <c r="AE28"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E56" i="1"/>
  <c r="M33" i="19"/>
  <c r="AF6" i="19"/>
  <c r="N46" i="19"/>
  <c r="Z26" i="19"/>
  <c r="AL6" i="19"/>
  <c r="AL36" i="19"/>
  <c r="AF26" i="19"/>
  <c r="Z6" i="19"/>
  <c r="T26" i="19"/>
  <c r="Z46" i="19"/>
  <c r="AF46" i="19"/>
  <c r="T46" i="19"/>
  <c r="T6" i="19"/>
  <c r="AF36" i="19"/>
  <c r="N26" i="19"/>
  <c r="Z16" i="19"/>
  <c r="AL26" i="19"/>
  <c r="Z36" i="19"/>
  <c r="N36" i="19"/>
  <c r="AL46" i="19"/>
  <c r="T36" i="19"/>
  <c r="AF16" i="19"/>
  <c r="N6" i="19"/>
  <c r="N16" i="19"/>
  <c r="AE15"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E64" i="1"/>
  <c r="AA14" i="19"/>
  <c r="O54" i="19"/>
  <c r="U44" i="19"/>
  <c r="U43" i="19"/>
  <c r="U13" i="19"/>
  <c r="AM53" i="19"/>
  <c r="AA53" i="19"/>
  <c r="AA43" i="19"/>
  <c r="O53" i="19"/>
  <c r="O23" i="19"/>
  <c r="O13" i="19"/>
  <c r="AG43" i="19"/>
  <c r="U33" i="19"/>
  <c r="U23" i="19"/>
  <c r="AM13" i="19"/>
  <c r="AM23" i="19"/>
  <c r="AG13" i="19"/>
  <c r="AA23" i="19"/>
  <c r="AG33" i="19"/>
  <c r="AA33" i="19"/>
  <c r="AM33" i="19"/>
  <c r="AA13" i="19"/>
  <c r="AE58"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E63" i="1"/>
  <c r="AF53" i="19"/>
  <c r="T43" i="19"/>
  <c r="Z53" i="19"/>
  <c r="N43" i="19"/>
  <c r="T23" i="19"/>
  <c r="AF43" i="19"/>
  <c r="Z13" i="19"/>
  <c r="Z43" i="19"/>
  <c r="AF23" i="19"/>
  <c r="AL13" i="19"/>
  <c r="Z23" i="19"/>
  <c r="AL43" i="19"/>
  <c r="AF13" i="19"/>
  <c r="AL23" i="19"/>
  <c r="N13" i="19"/>
  <c r="T33" i="19"/>
  <c r="AL53" i="19"/>
  <c r="N23" i="19"/>
  <c r="N53" i="19"/>
  <c r="AF33" i="19"/>
  <c r="N33" i="19"/>
  <c r="AE57" i="1"/>
  <c r="T53" i="19"/>
  <c r="AL33" i="19"/>
  <c r="T13" i="19"/>
  <c r="Z33" i="19"/>
  <c r="Z47" i="19"/>
  <c r="T7" i="19"/>
  <c r="AL37" i="19"/>
  <c r="T17" i="19"/>
  <c r="Z17" i="19"/>
  <c r="AF7" i="19"/>
  <c r="AF37" i="19"/>
  <c r="N17" i="19"/>
  <c r="AF27" i="19"/>
  <c r="AE21"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E40"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E22" i="1"/>
  <c r="AA17" i="19"/>
  <c r="O7" i="19"/>
  <c r="AA37" i="19"/>
  <c r="AA27" i="19"/>
  <c r="AM27" i="19"/>
  <c r="U17" i="19"/>
  <c r="U47" i="19"/>
  <c r="AG17" i="19"/>
  <c r="O47" i="19"/>
  <c r="Z40" i="19"/>
  <c r="AE39"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M41" i="1" l="1"/>
  <c r="N41" i="1" s="1"/>
  <c r="M11" i="1"/>
  <c r="N11" i="1" s="1"/>
  <c r="M29" i="1"/>
  <c r="N29" i="1" s="1"/>
  <c r="M23" i="1"/>
  <c r="N23" i="1" s="1"/>
  <c r="M53" i="1"/>
  <c r="N53" i="1" s="1"/>
  <c r="M47" i="1"/>
  <c r="N47" i="1" s="1"/>
  <c r="M35" i="1"/>
  <c r="N35" i="1" s="1"/>
  <c r="M17" i="1"/>
  <c r="N17" i="1" s="1"/>
  <c r="M65" i="1"/>
  <c r="N65" i="1" s="1"/>
  <c r="M59" i="1"/>
  <c r="N59" i="1" s="1"/>
  <c r="X6" i="18" l="1"/>
  <c r="AJ30" i="18"/>
  <c r="R22" i="18"/>
  <c r="L6" i="18"/>
  <c r="R30" i="18"/>
  <c r="X22" i="18"/>
  <c r="X38" i="18"/>
  <c r="AD38" i="18"/>
  <c r="P17" i="1"/>
  <c r="AD22" i="18"/>
  <c r="O17" i="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P35" i="1"/>
  <c r="L32" i="18"/>
  <c r="X8" i="18"/>
  <c r="X24" i="18"/>
  <c r="AJ8" i="18"/>
  <c r="O35" i="1"/>
  <c r="R40" i="18"/>
  <c r="L40" i="18"/>
  <c r="X16" i="18"/>
  <c r="L24" i="18"/>
  <c r="AJ24" i="18"/>
  <c r="X32" i="18"/>
  <c r="AJ40" i="18"/>
  <c r="R16" i="18"/>
  <c r="AD40" i="18"/>
  <c r="AD32" i="18"/>
  <c r="AD16" i="18"/>
  <c r="O47" i="1"/>
  <c r="J42" i="18"/>
  <c r="P34" i="18"/>
  <c r="AB18" i="18"/>
  <c r="AB42" i="18"/>
  <c r="AH34" i="18"/>
  <c r="P10" i="18"/>
  <c r="V34" i="18"/>
  <c r="P42" i="18"/>
  <c r="V42" i="18"/>
  <c r="AH42" i="18"/>
  <c r="AB26" i="18"/>
  <c r="AH26" i="18"/>
  <c r="V26" i="18"/>
  <c r="AB34" i="18"/>
  <c r="V10" i="18"/>
  <c r="AH18" i="18"/>
  <c r="J34" i="18"/>
  <c r="J10" i="18"/>
  <c r="AB10" i="18"/>
  <c r="J18" i="18"/>
  <c r="P47" i="1"/>
  <c r="P26" i="18"/>
  <c r="J26" i="18"/>
  <c r="AH10" i="18"/>
  <c r="P18" i="18"/>
  <c r="V18" i="18"/>
  <c r="X42" i="18"/>
  <c r="AD34" i="18"/>
  <c r="AD10" i="18"/>
  <c r="AD26" i="18"/>
  <c r="L10" i="18"/>
  <c r="L42" i="18"/>
  <c r="L26" i="18"/>
  <c r="X18" i="18"/>
  <c r="X34" i="18"/>
  <c r="X10" i="18"/>
  <c r="R18" i="18"/>
  <c r="AJ10" i="18"/>
  <c r="AD42" i="18"/>
  <c r="AJ34" i="18"/>
  <c r="R26" i="18"/>
  <c r="O53" i="1"/>
  <c r="L18" i="18"/>
  <c r="AJ26" i="18"/>
  <c r="AD18" i="18"/>
  <c r="R34" i="18"/>
  <c r="L34" i="18"/>
  <c r="AJ42" i="18"/>
  <c r="R10" i="18"/>
  <c r="R42" i="18"/>
  <c r="X26" i="18"/>
  <c r="AJ18" i="18"/>
  <c r="P53" i="1"/>
  <c r="T14" i="18"/>
  <c r="AL38" i="18"/>
  <c r="N14" i="18"/>
  <c r="Z6" i="18"/>
  <c r="T38" i="18"/>
  <c r="T22" i="18"/>
  <c r="AL14" i="18"/>
  <c r="N22" i="18"/>
  <c r="P23" i="1"/>
  <c r="AF22" i="18"/>
  <c r="N6" i="18"/>
  <c r="AF6" i="18"/>
  <c r="AF38" i="18"/>
  <c r="O23" i="1"/>
  <c r="AD23" i="1" s="1"/>
  <c r="N38" i="18"/>
  <c r="AL30" i="18"/>
  <c r="AL22" i="18"/>
  <c r="T6" i="18"/>
  <c r="AF14" i="18"/>
  <c r="AF30" i="18"/>
  <c r="Z22" i="18"/>
  <c r="T30" i="18"/>
  <c r="Z30" i="18"/>
  <c r="AL6" i="18"/>
  <c r="Z14" i="18"/>
  <c r="Z38" i="18"/>
  <c r="N30" i="18"/>
  <c r="J40" i="18"/>
  <c r="AB40" i="18"/>
  <c r="AH32" i="18"/>
  <c r="AB24" i="18"/>
  <c r="V16" i="18"/>
  <c r="O29" i="1"/>
  <c r="J16" i="18"/>
  <c r="P32" i="18"/>
  <c r="V24" i="18"/>
  <c r="P24" i="18"/>
  <c r="V40" i="18"/>
  <c r="P16" i="18"/>
  <c r="P40" i="18"/>
  <c r="V32" i="18"/>
  <c r="AH16" i="18"/>
  <c r="AB16" i="18"/>
  <c r="V8" i="18"/>
  <c r="AH24" i="18"/>
  <c r="AH8" i="18"/>
  <c r="AH40" i="18"/>
  <c r="J8" i="18"/>
  <c r="AB32" i="18"/>
  <c r="AB8" i="18"/>
  <c r="J24" i="18"/>
  <c r="J32" i="18"/>
  <c r="P8" i="18"/>
  <c r="P29" i="1"/>
  <c r="Z42" i="18"/>
  <c r="T18" i="18"/>
  <c r="AF34" i="18"/>
  <c r="AF42" i="18"/>
  <c r="N42" i="18"/>
  <c r="Z18" i="18"/>
  <c r="AL10" i="18"/>
  <c r="AL26" i="18"/>
  <c r="AF26" i="18"/>
  <c r="Z10" i="18"/>
  <c r="N18" i="18"/>
  <c r="T26" i="18"/>
  <c r="AF10" i="18"/>
  <c r="T34" i="18"/>
  <c r="N26" i="18"/>
  <c r="AL18" i="18"/>
  <c r="N10" i="18"/>
  <c r="AF18" i="18"/>
  <c r="Z26" i="18"/>
  <c r="AL34" i="18"/>
  <c r="O59" i="1"/>
  <c r="Z34" i="18"/>
  <c r="T10" i="18"/>
  <c r="P59" i="1"/>
  <c r="AL42" i="18"/>
  <c r="N34" i="18"/>
  <c r="T42" i="18"/>
  <c r="P14" i="18"/>
  <c r="V22" i="18"/>
  <c r="V14" i="18"/>
  <c r="P22" i="18"/>
  <c r="V38" i="18"/>
  <c r="AH14" i="18"/>
  <c r="AH38" i="18"/>
  <c r="J14" i="18"/>
  <c r="AB22" i="18"/>
  <c r="V30" i="18"/>
  <c r="AB14" i="18"/>
  <c r="AB38" i="18"/>
  <c r="J30" i="18"/>
  <c r="P38" i="18"/>
  <c r="AB6" i="18"/>
  <c r="O11" i="1"/>
  <c r="AD11" i="1" s="1"/>
  <c r="AH30" i="18"/>
  <c r="J38" i="18"/>
  <c r="AH6" i="18"/>
  <c r="V6" i="18"/>
  <c r="AB30" i="18"/>
  <c r="J22" i="18"/>
  <c r="J6" i="18"/>
  <c r="P30" i="18"/>
  <c r="AH22" i="18"/>
  <c r="P6" i="18"/>
  <c r="P11" i="1"/>
  <c r="AH12" i="18"/>
  <c r="J20" i="18"/>
  <c r="J44" i="18"/>
  <c r="AB28" i="18"/>
  <c r="P28" i="18"/>
  <c r="P65" i="1"/>
  <c r="P12" i="18"/>
  <c r="AH20" i="18"/>
  <c r="P44" i="18"/>
  <c r="AB12" i="18"/>
  <c r="P20" i="18"/>
  <c r="J36" i="18"/>
  <c r="P36" i="18"/>
  <c r="AB44" i="18"/>
  <c r="V44" i="18"/>
  <c r="J28" i="18"/>
  <c r="AH36" i="18"/>
  <c r="V12" i="18"/>
  <c r="V28" i="18"/>
  <c r="AH44" i="18"/>
  <c r="AB20" i="18"/>
  <c r="AB36" i="18"/>
  <c r="AH28" i="18"/>
  <c r="V36" i="18"/>
  <c r="V20" i="18"/>
  <c r="O65" i="1"/>
  <c r="AD65" i="1" s="1"/>
  <c r="AC65" i="1" s="1"/>
  <c r="J12" i="18"/>
  <c r="AF24" i="18"/>
  <c r="AF32" i="18"/>
  <c r="T40" i="18"/>
  <c r="O41" i="1"/>
  <c r="Z40" i="18"/>
  <c r="AL8" i="18"/>
  <c r="AF8" i="18"/>
  <c r="T8" i="18"/>
  <c r="Z16" i="18"/>
  <c r="T24" i="18"/>
  <c r="AL24" i="18"/>
  <c r="Z32" i="18"/>
  <c r="N32" i="18"/>
  <c r="N16" i="18"/>
  <c r="Z8" i="18"/>
  <c r="AL40" i="18"/>
  <c r="N8" i="18"/>
  <c r="N24" i="18"/>
  <c r="T32" i="18"/>
  <c r="T16" i="18"/>
  <c r="AF40" i="18"/>
  <c r="AF16" i="18"/>
  <c r="AL32" i="18"/>
  <c r="N40" i="18"/>
  <c r="Z24" i="18"/>
  <c r="AL16" i="18"/>
  <c r="P41" i="1"/>
  <c r="AC23" i="1" l="1"/>
  <c r="AD24" i="1"/>
  <c r="AC24" i="1" s="1"/>
  <c r="AC11" i="1"/>
  <c r="P16" i="19" s="1"/>
  <c r="AD12" i="1"/>
  <c r="AC12" i="1" s="1"/>
  <c r="V25" i="19"/>
  <c r="V45" i="19"/>
  <c r="J15" i="19"/>
  <c r="AB45" i="19"/>
  <c r="AH25" i="19"/>
  <c r="AH55" i="19"/>
  <c r="AB15" i="19"/>
  <c r="P15" i="19"/>
  <c r="P45" i="19"/>
  <c r="V15" i="19"/>
  <c r="J35" i="19"/>
  <c r="AH45" i="19"/>
  <c r="J25" i="19"/>
  <c r="AB35" i="19"/>
  <c r="AH15" i="19"/>
  <c r="V35" i="19"/>
  <c r="J55" i="19"/>
  <c r="AB55" i="19"/>
  <c r="AE65" i="1"/>
  <c r="AB25" i="19"/>
  <c r="AH35" i="19"/>
  <c r="P55" i="19"/>
  <c r="J45" i="19"/>
  <c r="P25" i="19"/>
  <c r="P35" i="19"/>
  <c r="V55" i="19"/>
  <c r="AD25" i="1" l="1"/>
  <c r="AC25" i="1" s="1"/>
  <c r="AJ28" i="19" s="1"/>
  <c r="W38" i="19"/>
  <c r="AI28" i="19"/>
  <c r="K38" i="19"/>
  <c r="W48" i="19"/>
  <c r="Q38" i="19"/>
  <c r="AI38" i="19"/>
  <c r="W28" i="19"/>
  <c r="W8" i="19"/>
  <c r="K48" i="19"/>
  <c r="AE24" i="1"/>
  <c r="K18" i="19"/>
  <c r="K8" i="19"/>
  <c r="AC28" i="19"/>
  <c r="AI18" i="19"/>
  <c r="K28" i="19"/>
  <c r="Q18" i="19"/>
  <c r="AC18" i="19"/>
  <c r="AC8" i="19"/>
  <c r="W18" i="19"/>
  <c r="AI8" i="19"/>
  <c r="Q48" i="19"/>
  <c r="AC38" i="19"/>
  <c r="Q28" i="19"/>
  <c r="AI48" i="19"/>
  <c r="Q8" i="19"/>
  <c r="AC48" i="19"/>
  <c r="R48" i="19"/>
  <c r="AD8" i="19"/>
  <c r="L8" i="19"/>
  <c r="X38" i="19"/>
  <c r="AD38" i="19"/>
  <c r="AD48" i="19"/>
  <c r="AB28" i="19"/>
  <c r="V38" i="19"/>
  <c r="AH28" i="19"/>
  <c r="AB38" i="19"/>
  <c r="V48" i="19"/>
  <c r="P8" i="19"/>
  <c r="AB48" i="19"/>
  <c r="V8" i="19"/>
  <c r="AH18" i="19"/>
  <c r="J38" i="19"/>
  <c r="J28" i="19"/>
  <c r="V28" i="19"/>
  <c r="AB8" i="19"/>
  <c r="AE23" i="1"/>
  <c r="P38" i="19"/>
  <c r="AH38" i="19"/>
  <c r="P48" i="19"/>
  <c r="AB18" i="19"/>
  <c r="J8" i="19"/>
  <c r="J18" i="19"/>
  <c r="AH8" i="19"/>
  <c r="AH48" i="19"/>
  <c r="V18" i="19"/>
  <c r="P18" i="19"/>
  <c r="J48" i="19"/>
  <c r="P28" i="19"/>
  <c r="V36" i="19"/>
  <c r="V6" i="19"/>
  <c r="V16" i="19"/>
  <c r="P26" i="19"/>
  <c r="J26" i="19"/>
  <c r="V26" i="19"/>
  <c r="J36" i="19"/>
  <c r="J16" i="19"/>
  <c r="P36" i="19"/>
  <c r="AB26" i="19"/>
  <c r="AB36" i="19"/>
  <c r="J6" i="19"/>
  <c r="P46" i="19"/>
  <c r="AB6" i="19"/>
  <c r="AH36" i="19"/>
  <c r="AB46" i="19"/>
  <c r="AH46" i="19"/>
  <c r="V46" i="19"/>
  <c r="AH16" i="19"/>
  <c r="AH26" i="19"/>
  <c r="AH6" i="19"/>
  <c r="J46" i="19"/>
  <c r="AE11" i="1"/>
  <c r="AB16" i="19"/>
  <c r="P6" i="19"/>
  <c r="W36" i="19"/>
  <c r="AC36" i="19"/>
  <c r="K16" i="19"/>
  <c r="AI36" i="19"/>
  <c r="K46" i="19"/>
  <c r="AI46" i="19"/>
  <c r="AC46" i="19"/>
  <c r="Q46" i="19"/>
  <c r="AC26" i="19"/>
  <c r="AC16" i="19"/>
  <c r="W16" i="19"/>
  <c r="K36" i="19"/>
  <c r="Q26" i="19"/>
  <c r="AE12" i="1"/>
  <c r="Q6" i="19"/>
  <c r="K6" i="19"/>
  <c r="Q16" i="19"/>
  <c r="Q36" i="19"/>
  <c r="AC6" i="19"/>
  <c r="AI6" i="19"/>
  <c r="AI16" i="19"/>
  <c r="W6" i="19"/>
  <c r="AI26" i="19"/>
  <c r="W26" i="19"/>
  <c r="K26" i="19"/>
  <c r="W46" i="19"/>
  <c r="B223" i="13"/>
  <c r="B222" i="13"/>
  <c r="AJ38" i="19" l="1"/>
  <c r="AD28" i="19"/>
  <c r="L48" i="19"/>
  <c r="R8" i="19"/>
  <c r="AD18" i="19"/>
  <c r="AJ48" i="19"/>
  <c r="R28" i="19"/>
  <c r="X48" i="19"/>
  <c r="X28" i="19"/>
  <c r="AJ8" i="19"/>
  <c r="X8" i="19"/>
  <c r="X18" i="19"/>
  <c r="AE25" i="1"/>
  <c r="L18" i="19"/>
  <c r="R38" i="19"/>
  <c r="L38" i="19"/>
  <c r="AJ18" i="19"/>
  <c r="R18" i="19"/>
  <c r="L28" i="19"/>
</calcChain>
</file>

<file path=xl/comments1.xml><?xml version="1.0" encoding="utf-8"?>
<comments xmlns="http://schemas.openxmlformats.org/spreadsheetml/2006/main">
  <authors>
    <author/>
    <author>Ing. Andru</author>
  </authors>
  <commentList>
    <comment ref="C6" authorId="0" shapeId="0">
      <text>
        <r>
          <rPr>
            <sz val="11"/>
            <color theme="1"/>
            <rFont val="Calibri"/>
            <family val="2"/>
            <scheme val="minor"/>
          </rPr>
          <t>======
ID#AAAAeuO1Taw
Ing. Andru    (2022-08-23 13:14:33)
Traer la Información de la caracterización del proceso.</t>
        </r>
      </text>
    </comment>
    <comment ref="C7" authorId="0" shapeId="0">
      <text>
        <r>
          <rPr>
            <sz val="11"/>
            <color rgb="FF000000"/>
            <rFont val="Calibri"/>
            <family val="2"/>
          </rPr>
          <t xml:space="preserve">======
</t>
        </r>
        <r>
          <rPr>
            <sz val="11"/>
            <color rgb="FF000000"/>
            <rFont val="Calibri"/>
            <family val="2"/>
          </rPr>
          <t xml:space="preserve">ID#AAAAeuO1TbE
</t>
        </r>
        <r>
          <rPr>
            <sz val="11"/>
            <color rgb="FF000000"/>
            <rFont val="Calibri"/>
            <family val="2"/>
          </rPr>
          <t xml:space="preserve">Ing. Andru    (2022-08-23 13:14:33)
</t>
        </r>
        <r>
          <rPr>
            <sz val="11"/>
            <color rgb="FF000000"/>
            <rFont val="Calibri"/>
            <family val="2"/>
          </rPr>
          <t>Traer la Información de la caracterización del proceso.</t>
        </r>
      </text>
    </comment>
    <comment ref="A9" authorId="1" shapeId="0">
      <text>
        <r>
          <rPr>
            <b/>
            <sz val="9"/>
            <color indexed="81"/>
            <rFont val="Tahoma"/>
            <family val="2"/>
          </rPr>
          <t>Número consecutivo de los riesgos que se identifican.</t>
        </r>
        <r>
          <rPr>
            <sz val="9"/>
            <color indexed="81"/>
            <rFont val="Tahoma"/>
            <family val="2"/>
          </rPr>
          <t xml:space="preserve">
</t>
        </r>
      </text>
    </comment>
    <comment ref="B9" authorId="1" shapeId="0">
      <text>
        <r>
          <rPr>
            <b/>
            <sz val="9"/>
            <color indexed="81"/>
            <rFont val="Tahoma"/>
            <family val="2"/>
          </rPr>
          <t>Consulte su matriz de activos de información.</t>
        </r>
      </text>
    </comment>
    <comment ref="D9" authorId="1" shapeId="0">
      <text>
        <r>
          <rPr>
            <b/>
            <sz val="9"/>
            <color indexed="81"/>
            <rFont val="Tahoma"/>
            <family val="2"/>
          </rPr>
          <t>En el manual de gestión de riesgos de seguridad de la información, encontrará sugerencias de AMENAZAS que puede usar o ajustar según se requiera.</t>
        </r>
      </text>
    </comment>
    <comment ref="E9" authorId="1" shapeId="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S9" authorId="1" shapeId="0">
      <text>
        <r>
          <rPr>
            <b/>
            <sz val="9"/>
            <color rgb="FF000000"/>
            <rFont val="Tahoma"/>
            <family val="2"/>
          </rPr>
          <t>Este campo es automático y se diligencia al seleccionar el tipo de control (Columna T)</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<sst xmlns="http://schemas.openxmlformats.org/spreadsheetml/2006/main" count="465" uniqueCount="303">
  <si>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</si>
  <si>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</si>
  <si>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</si>
  <si>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</si>
  <si>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</si>
  <si>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</si>
  <si>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</si>
  <si>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</si>
  <si>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</si>
  <si>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</si>
  <si>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</si>
  <si>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</si>
  <si>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</si>
  <si>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</si>
  <si>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</si>
  <si>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</si>
  <si>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</si>
  <si>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</si>
  <si>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</si>
  <si>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</si>
  <si>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</si>
  <si>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</si>
  <si>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</si>
  <si>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</si>
  <si>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</si>
  <si>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</si>
  <si>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</si>
  <si>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</si>
  <si>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</si>
  <si>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</si>
  <si>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</si>
  <si>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</si>
  <si>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</si>
  <si>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</si>
  <si>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</si>
  <si>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</si>
  <si>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</si>
  <si>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</si>
  <si>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</si>
  <si>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</si>
  <si>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</si>
  <si>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</si>
  <si>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</si>
  <si>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</si>
  <si>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</si>
  <si>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</si>
  <si>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</si>
  <si>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</si>
  <si>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</si>
  <si>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</si>
  <si>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</si>
  <si>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</si>
  <si>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</si>
  <si>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</si>
  <si>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</si>
  <si>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</si>
  <si>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</si>
  <si>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</si>
  <si>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</si>
  <si>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</si>
  <si>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</si>
  <si>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</si>
  <si>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</si>
  <si>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</si>
  <si>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</si>
  <si>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</si>
  <si>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</si>
  <si>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</si>
  <si>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</si>
  <si>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</si>
  <si>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</si>
  <si>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</si>
  <si>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</si>
  <si>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</si>
  <si>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</si>
  <si>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</si>
  <si>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</si>
  <si>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</si>
  <si>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</si>
  <si>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</si>
  <si>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</si>
  <si>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</si>
  <si>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</si>
  <si>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</si>
  <si>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</si>
  <si>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</si>
  <si>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</si>
  <si>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</si>
  <si>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</si>
  <si>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</si>
  <si>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</si>
  <si>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</si>
  <si>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</si>
  <si>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</si>
  <si>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</si>
  <si>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</si>
  <si>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</si>
  <si>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</si>
  <si>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</si>
  <si>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</si>
  <si>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</si>
  <si>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</si>
  <si>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</si>
  <si>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</si>
  <si>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</si>
  <si>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</si>
  <si>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</si>
  <si>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</si>
  <si>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</si>
  <si>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</si>
  <si>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</si>
  <si>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</si>
  <si>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</si>
  <si>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</si>
  <si>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</si>
  <si>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</si>
  <si>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</si>
  <si>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</si>
  <si>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</si>
  <si>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</si>
  <si>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</si>
  <si>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</si>
  <si>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</si>
  <si>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</si>
  <si>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</si>
  <si>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</si>
  <si>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</si>
  <si>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</si>
  <si>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</si>
  <si>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</si>
  <si>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</si>
  <si>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</si>
  <si>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</si>
  <si>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</si>
  <si>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</si>
  <si>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</si>
  <si>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</si>
  <si>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</si>
  <si>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</si>
  <si>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</si>
  <si>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</si>
  <si>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</si>
  <si>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</si>
  <si>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</si>
  <si>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</si>
  <si>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</si>
  <si>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</si>
  <si>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</si>
  <si>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</si>
  <si>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</si>
  <si>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</si>
  <si>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</si>
  <si>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</si>
  <si>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</si>
  <si>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</si>
  <si>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</si>
  <si>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</si>
  <si>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</si>
  <si>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</si>
  <si>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</si>
  <si>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</si>
  <si>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</si>
  <si>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</si>
  <si>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</si>
  <si>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</si>
  <si>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</si>
  <si>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</si>
  <si>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</si>
  <si>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</si>
  <si>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</si>
  <si>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</si>
  <si>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</si>
  <si>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</si>
  <si>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</si>
  <si>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</si>
  <si>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</si>
  <si>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</si>
  <si>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</si>
  <si>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</si>
  <si>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</si>
  <si>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</si>
  <si>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</si>
  <si>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</si>
  <si>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</si>
  <si>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</si>
  <si>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</si>
  <si>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</si>
  <si>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</si>
  <si>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</si>
  <si>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</si>
  <si>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</si>
  <si>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</si>
  <si>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</si>
  <si>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</si>
  <si>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</si>
  <si>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</si>
  <si>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</si>
  <si>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</si>
  <si>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</si>
  <si>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</si>
  <si>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</si>
  <si>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</si>
  <si>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</si>
  <si>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</si>
  <si>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</si>
  <si>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</si>
  <si>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</si>
  <si>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</si>
  <si>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</si>
  <si>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</si>
  <si>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</si>
  <si>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</si>
  <si>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</si>
  <si>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</si>
  <si>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</si>
  <si>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</si>
  <si>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</si>
  <si>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</si>
  <si>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</si>
  <si>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</si>
  <si>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</si>
  <si>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</si>
  <si>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Diligencie el objetivo del proceso o dependencia. Consulte la caracterización del proceso o dependencia en Kawak.</t>
  </si>
  <si>
    <t>Diligencie el alcance del proceso o dependencia. Consulte la caracterización del proceso o dependencia en Kawak.</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</si>
  <si>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</si>
  <si>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</si>
  <si>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</si>
  <si>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Circunstancias bajo las cuales se presenta el riesgo, es la situación más evidente frente al riesgo, redacte de la forma más concreta posible. 
En el manual de gestión de riesgos de seguridad de la información, consulte el numeral 10.3 Amenazas, verifique en la tabla de Amenazas si hay algunas de las amenazas comunes que le aplique, o adáptela de acuerdo a su necesidad, recuerde que la información allí consignada es una guía de referencia.</t>
  </si>
  <si>
    <t>Causa principal o básica, corresponde a las razones por la cuales se puede presentar el riesgo por la falta de un control, redacte de la forma más concreta posible.
En el manual de gestión de riesgos de seguridad de la información, consulte el numeral 10.4 Amenazas, verifique en la tabla de Vulnerabilidades si hay algunas de las vulnerabilidades comunes que le aplique, o adáptela de acuerdo a su necesidad, recuerde que la información allí consignada es una guía de referencia.</t>
  </si>
  <si>
    <t>Seleccione de la Lista desplegable el tipo de riesgo, hay 3 riesgos asociados a seguridad de la información y 4 asociados a bases de datos personales.
En el manual de gestión de riesgos de seguridad de la información, consulte el numeral 10.2 Riesgos de Seguridad de la Información y Bases de Datos Personales.</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</si>
  <si>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</si>
  <si>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En el manual de gestión de riesgos de seguridad de la información, consulte el numeral 10.5 Clasificación del Riesgo, en el cual se encuentra la descripción de cada uno.</t>
  </si>
  <si>
    <t>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11.1 Probabilidad, en el cual se encuentra la tabla Análisis de Probabilidad, con la descripción de cada uno, de igual forma también se encuentra en el instrumento en la hoja “Tabla Probabilidad”.</t>
  </si>
  <si>
    <t>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11.2 Impacto, en el cual se encuentra la tabla Análisis de Impacto.</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</si>
  <si>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</si>
  <si>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</si>
  <si>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</si>
  <si>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</si>
  <si>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</si>
  <si>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</si>
  <si>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</si>
  <si>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</si>
  <si>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</si>
  <si>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</si>
  <si>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</si>
  <si>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</si>
  <si>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</si>
  <si>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DESPACHO - SECRETARÍA DISTRITAL DE CULTURA, RECREACIÓN Y DEPORTE</t>
  </si>
  <si>
    <t>OFICINA DE CONTROL INTERNO</t>
  </si>
  <si>
    <t>OFICINA DE CONTROL INTERNO DISCIPLINARIO</t>
  </si>
  <si>
    <t>OFICINA ASESORA DE JURÍDICA</t>
  </si>
  <si>
    <t>OFICINA ASESORA DE COMUNICACIONES</t>
  </si>
  <si>
    <t>OFICINA ASESORA DE PLANEACIÓN</t>
  </si>
  <si>
    <t>OFICINA DE TECNOLOGÍAS DE LA INFORMACIÓN</t>
  </si>
  <si>
    <t>DIRECCIÓN DE FOMENTO</t>
  </si>
  <si>
    <t>DIRECCIÓN DE ASUNTOS LOCALES Y PARTICIPACIÓN</t>
  </si>
  <si>
    <t>DIRECCIÓN DE ECONOMÍA, ESTUDIOS Y POLÍTICA</t>
  </si>
  <si>
    <t>DIRECCIÓN DE PERSONAS JURÍDICAS</t>
  </si>
  <si>
    <t>SUBSECRETARÍA DISTRITAL DE CULTURA CIUDADANA Y GESTIÓN DEL CONOCIMIENTO</t>
  </si>
  <si>
    <t>DIRECCIÓN DEL OBSERVATORIO Y GESTIÓN DEL CONOCIMIENTO CULTURAL</t>
  </si>
  <si>
    <t>DIRECCIÓN DE ARTE CULTURA Y PATRIMONIO</t>
  </si>
  <si>
    <t>SUBDIRECCIÓN DE GESTIÓN CULTURAL Y ARTÍSTICA</t>
  </si>
  <si>
    <t>SUBDIRECCIÓN DE INFRAESTRUCTURA CULTURAL Y PATRIMONIO CULTURAL</t>
  </si>
  <si>
    <t>DIRECCIÓN DE LECTURA Y BIBLIOTECAS</t>
  </si>
  <si>
    <t>DIRECCIÓN DE GESTIÓN CORPORATIVA</t>
  </si>
  <si>
    <t>GRUPO INTERNO DE TRABAJO DE TALENTO HUMANO</t>
  </si>
  <si>
    <t>GRUPO INTERNO DE TRABAJO DE GESTIÓN FINANCIERA</t>
  </si>
  <si>
    <t>GRUPO INTERNO DE TRABAJO DE CONTRATACIÓN</t>
  </si>
  <si>
    <t>GRUPO INTERNO DE TRABAJO DE GESTIÓN DE SERVICIOS ADMINISTRATIVOS</t>
  </si>
  <si>
    <t>GESTIÓN DOCUMENTAL, ARCHIVO Y CORRESPONDENCIA</t>
  </si>
  <si>
    <t>DIRECCIONAMIENTO ESTRATÉGICO</t>
  </si>
  <si>
    <t>COMUNICACIÓN ESTRATÉGICA</t>
  </si>
  <si>
    <t>GESTIÓN ESTRATÉGICA DE TI</t>
  </si>
  <si>
    <t>FORMULACIÓN Y SEGUIMIENTO DE POLÍTICAS PÚBLICAS</t>
  </si>
  <si>
    <t>PROMOCIÓN DE AGENTES Y PRÁCTICAS CULTURALES Y RECREODEPORTIVAS</t>
  </si>
  <si>
    <t>APROPIACIÓN DE LA INFRAESTUCTURA Y PATRIMONIO CULTURAL</t>
  </si>
  <si>
    <t>GESTIÓN DEL CONOCIMIENTO</t>
  </si>
  <si>
    <t>PARTICIPACIÓN CIUDADANA</t>
  </si>
  <si>
    <t>GESTIÓN OPERATIVA DE TI</t>
  </si>
  <si>
    <t>GESTIÓN JURÍDICA</t>
  </si>
  <si>
    <t>GESTIÓN FINANCIERA</t>
  </si>
  <si>
    <t>GESTIÓN DE TALENTO HUMANO</t>
  </si>
  <si>
    <t>RELACIÓN CON LA CIUDADANÍA</t>
  </si>
  <si>
    <t>GESTIÓN ADMINISTRATIVA</t>
  </si>
  <si>
    <t>GESTIÓN DOCUMENTAL</t>
  </si>
  <si>
    <t>SEGUIMIENTO Y EVALUACION DE LA GESTION</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</si>
  <si>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</si>
  <si>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Inicia desde la definición de estrategias que fomenten las prácticas
artísticas, culturales, recreativas y deportivas para el fortalecimiento
del sector cultura, recreación y deporte y finaliza con el seguimiento del
cumplimiento de las estrategias.</t>
  </si>
  <si>
    <t xml:space="preserve">Pérdida de la informacón por mal manejo del documento base </t>
  </si>
  <si>
    <t xml:space="preserve">Falta de conocimiento del personal o responsable de la información para el adecuado manejo de la base de datos </t>
  </si>
  <si>
    <t xml:space="preserve">Posibilidad de perdida de integridad de la información por mal manejo o por falta de conocmiento del responsable de la información para el adecuado manejo de la base de datos 
</t>
  </si>
  <si>
    <t xml:space="preserve">Establecer y realizar seguimiento semestral a los roles de acceso a las bases de datos de emprendimientos y de mentores (Aldea Bogotá)
por parte de la persona designada del área.  </t>
  </si>
  <si>
    <t>Realizar copia de seguridad de manera semestral en un lugar externo al drive a las bases de datos de emprendimientos y de mentores (Aldea Bogotá) por parte de la persona designada</t>
  </si>
  <si>
    <t xml:space="preserve">Pérdida de la confidencialidad de los datos personales   </t>
  </si>
  <si>
    <t xml:space="preserve">Falta de conocimiento del tratamiento  de datos personales por parte del personal o responsable de la información </t>
  </si>
  <si>
    <t>Posbilidad de pérdida de confidencialidad, divulgación no autorizada o mal uso de la información de datos personales por falta de conocimiento del tratamiento de datos personales por parte del personal responsable</t>
  </si>
  <si>
    <t xml:space="preserve">Revisar de manera semestral la clasificación de la información según el nivel de confidencialidad, de acuerdo con lo establecido en la ley 1712 del 2014. </t>
  </si>
  <si>
    <t>Socializar a la personas encargada del manejo de la base de datos la política de protección de datos personales de la SCRD</t>
  </si>
  <si>
    <t xml:space="preserve">Debilidad para el acceso ciudadano a la información de los informes y documentos por daño en la página institucional </t>
  </si>
  <si>
    <t xml:space="preserve">Daño en la página institucional o micrositio de la Dirección que impida el acceso </t>
  </si>
  <si>
    <t>Posbilidad de pérdida de afectación de la disponibildiad de los informes y documentos en la plataforma tecnológica por daño en la página institucional o micrositio de la DEEP en la página institucional</t>
  </si>
  <si>
    <t xml:space="preserve">Revisar mensualmente que los links y la información correspondiente a los documentos de: resultados de la cuenta satelite de cultura y economia creativa de bogota, guia practica para la creacion de areas de desarrollo naranja, diagnostico economico del sector cultural y creativoy caracterizacion de industrias culturales y creativas (cicc), se encuentren corretos y aptos para cualquier consulta ciudadana en el micrositio.
</t>
  </si>
  <si>
    <t>Si se evidencia alguna falla técnica que impida la disponibilidad de los documentos, solicitar a la Oficina de Comunicaciones la revisión de la pagina WEB o micrositio de DEEP, mediante correo electrónico, y realizar su respectivo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</si>
</sst>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9"/>
      <color rgb="FF000000"/>
      <name val="Arial Narrow"/>
      <family val="2"/>
      <charset val="1"/>
    </font>
    <font>
      <sz val="11"/>
      <name val="Calibri"/>
      <family val="2"/>
    </font>
    <font>
      <sz val="11"/>
      <color rgb="FF000000"/>
      <name val="Calibri"/>
      <family val="2"/>
    </font>
    <font>
      <b/>
      <sz val="9"/>
      <color rgb="FF000000"/>
      <name val="Tahoma"/>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theme="0"/>
        <bgColor theme="0"/>
      </patternFill>
    </fill>
  </fills>
  <borders count="9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dotted">
        <color rgb="FFE36C09"/>
      </left>
      <right style="dotted">
        <color rgb="FFE36C09"/>
      </right>
      <top style="dotted">
        <color rgb="FFE36C09"/>
      </top>
      <bottom style="dotted">
        <color rgb="FFE36C09"/>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cellStyleXfs>
  <cellXfs count="42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9" fontId="1" fillId="0" borderId="4" xfId="0" applyNumberFormat="1" applyFont="1" applyFill="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17" borderId="33" xfId="5" applyFont="1" applyFill="1" applyBorder="1" applyAlignment="1">
      <alignment horizontal="center" vertical="center" wrapText="1"/>
    </xf>
    <xf numFmtId="0" fontId="60" fillId="18" borderId="33" xfId="0" applyFont="1" applyFill="1" applyBorder="1" applyAlignment="1">
      <alignment horizontal="left" vertical="center" wrapText="1"/>
    </xf>
    <xf numFmtId="0" fontId="59" fillId="17" borderId="77" xfId="5" applyFont="1" applyFill="1" applyBorder="1" applyAlignment="1">
      <alignment vertical="center" wrapText="1"/>
    </xf>
    <xf numFmtId="0" fontId="60"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76" xfId="0" applyFont="1" applyFill="1" applyBorder="1" applyAlignment="1">
      <alignment horizontal="left" vertical="center" wrapText="1"/>
    </xf>
    <xf numFmtId="0" fontId="0" fillId="3" borderId="33" xfId="0" applyFill="1" applyBorder="1"/>
    <xf numFmtId="0" fontId="64" fillId="19" borderId="79" xfId="4" applyFont="1" applyFill="1" applyBorder="1" applyAlignment="1">
      <alignment vertical="center" wrapText="1"/>
    </xf>
    <xf numFmtId="0" fontId="64" fillId="19" borderId="80" xfId="4" applyFont="1" applyFill="1" applyBorder="1" applyAlignment="1">
      <alignment vertical="center" wrapText="1"/>
    </xf>
    <xf numFmtId="0" fontId="64" fillId="3" borderId="80" xfId="4" applyFont="1" applyFill="1" applyBorder="1" applyAlignment="1">
      <alignment vertical="center" wrapText="1"/>
    </xf>
    <xf numFmtId="0" fontId="64" fillId="3" borderId="81" xfId="4" applyFont="1" applyFill="1" applyBorder="1" applyAlignment="1">
      <alignment vertical="center" wrapText="1"/>
    </xf>
    <xf numFmtId="0" fontId="64" fillId="20" borderId="80" xfId="4" applyFont="1" applyFill="1" applyBorder="1" applyAlignment="1">
      <alignment vertical="center" wrapText="1"/>
    </xf>
    <xf numFmtId="0" fontId="64" fillId="21" borderId="82" xfId="4" applyFont="1" applyFill="1" applyBorder="1" applyAlignment="1">
      <alignment vertical="center" wrapText="1"/>
    </xf>
    <xf numFmtId="0" fontId="1" fillId="0" borderId="86" xfId="0" applyFont="1" applyBorder="1" applyAlignment="1">
      <alignment horizontal="center" vertical="top" wrapText="1"/>
    </xf>
    <xf numFmtId="0" fontId="1" fillId="0" borderId="87" xfId="0" applyFont="1" applyBorder="1" applyAlignment="1">
      <alignment horizontal="center" vertical="top" wrapText="1"/>
    </xf>
    <xf numFmtId="0" fontId="1" fillId="0" borderId="88" xfId="0" applyFont="1" applyBorder="1" applyAlignment="1">
      <alignment horizontal="center" vertical="top" wrapText="1"/>
    </xf>
    <xf numFmtId="0" fontId="6" fillId="0" borderId="89" xfId="0" applyFont="1" applyBorder="1" applyAlignment="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8" fillId="22" borderId="83" xfId="0" applyFont="1" applyFill="1" applyBorder="1" applyAlignment="1">
      <alignment horizontal="center" vertical="center"/>
    </xf>
    <xf numFmtId="0" fontId="65" fillId="0" borderId="84" xfId="0" applyFont="1" applyBorder="1"/>
    <xf numFmtId="0" fontId="65" fillId="0" borderId="85" xfId="0" applyFont="1" applyBorder="1"/>
    <xf numFmtId="0" fontId="1" fillId="0" borderId="86" xfId="0" applyFont="1" applyBorder="1" applyAlignment="1">
      <alignment horizontal="center" vertical="top" wrapText="1"/>
    </xf>
    <xf numFmtId="0" fontId="65" fillId="0" borderId="87" xfId="0" applyFont="1" applyBorder="1"/>
    <xf numFmtId="0" fontId="65" fillId="0" borderId="88" xfId="0" applyFont="1" applyBorder="1"/>
    <xf numFmtId="0" fontId="1" fillId="0" borderId="86" xfId="0" applyFont="1" applyBorder="1" applyAlignment="1">
      <alignment horizontal="center" vertical="top"/>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8" fillId="22" borderId="83" xfId="0" applyFont="1" applyFill="1" applyBorder="1" applyAlignment="1">
      <alignment horizontal="left"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22" borderId="83" xfId="0" applyFont="1" applyFill="1" applyBorder="1" applyAlignment="1">
      <alignment horizontal="left" vertical="center"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3" borderId="0" xfId="0" applyFont="1" applyFill="1" applyBorder="1" applyAlignment="1">
      <alignment horizontal="left"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59" fillId="17" borderId="77" xfId="5" applyFont="1" applyFill="1" applyBorder="1" applyAlignment="1">
      <alignment horizontal="center" vertical="center" wrapText="1"/>
    </xf>
    <xf numFmtId="0" fontId="59" fillId="17" borderId="78" xfId="5" applyFont="1" applyFill="1" applyBorder="1" applyAlignment="1">
      <alignment horizontal="center" vertical="center" wrapText="1"/>
    </xf>
    <xf numFmtId="0" fontId="60" fillId="3" borderId="75" xfId="0" applyFont="1" applyFill="1" applyBorder="1" applyAlignment="1">
      <alignment horizontal="center" vertical="center" wrapText="1"/>
    </xf>
    <xf numFmtId="0" fontId="60" fillId="3" borderId="76" xfId="0" applyFont="1" applyFill="1" applyBorder="1" applyAlignment="1">
      <alignment horizontal="center" vertical="center" wrapText="1"/>
    </xf>
    <xf numFmtId="0" fontId="60" fillId="3" borderId="34" xfId="0" applyFont="1" applyFill="1" applyBorder="1" applyAlignment="1">
      <alignment horizontal="center" vertical="center" wrapText="1"/>
    </xf>
    <xf numFmtId="0" fontId="1" fillId="0" borderId="2" xfId="0" applyFont="1" applyFill="1" applyBorder="1" applyAlignment="1" applyProtection="1">
      <alignment horizontal="justify" vertical="top"/>
      <protection locked="0"/>
    </xf>
    <xf numFmtId="0" fontId="6" fillId="0" borderId="89" xfId="0" applyFont="1" applyFill="1" applyBorder="1" applyAlignment="1">
      <alignment horizontal="left" vertical="top" wrapText="1"/>
    </xf>
  </cellXfs>
  <cellStyles count="6">
    <cellStyle name="Énfasis6" xfId="5" builtinId="49"/>
    <cellStyle name="Normal" xfId="0" builtinId="0"/>
    <cellStyle name="Normal - Style1 2" xfId="2"/>
    <cellStyle name="Normal 2" xfId="4"/>
    <cellStyle name="Normal 2 2" xfId="3"/>
    <cellStyle name="Porcentaje" xfId="1" builtinId="5"/>
  </cellStyles>
  <dxfs count="239">
    <dxf>
      <font>
        <color rgb="FF9C0006"/>
      </font>
      <fill>
        <patternFill>
          <bgColor rgb="FFFFC7CE"/>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ng. Andru" refreshedDate="44719.797894097224" createdVersion="6" refreshedVersion="8"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ng. Andru" refreshedDate="44719.820464814817" createdVersion="8" refreshedVersion="8" minRefreshableVersion="3" recordCount="7">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7" dataDxfId="6">
  <autoFilter ref="B209:C219"/>
  <tableColumns count="2">
    <tableColumn id="1" name="Criterios" dataDxfId="5"/>
    <tableColumn id="2" name="Subcriterios" dataDxfId="4"/>
  </tableColumns>
  <tableStyleInfo name="TableStyleMedium2" showFirstColumn="0" showLastColumn="0" showRowStripes="1" showColumnStripes="0"/>
</table>
</file>

<file path=xl/tables/table2.xml><?xml version="1.0" encoding="utf-8"?>
<table xmlns="http://schemas.openxmlformats.org/spreadsheetml/2006/main" id="5" name="Tabla5" displayName="Tabla5" ref="B228:C235" totalsRowShown="0" dataDxfId="3">
  <autoFilter ref="B228:C235"/>
  <tableColumns count="2">
    <tableColumn id="1" name="Criterios" dataDxfId="2"/>
    <tableColumn id="2" name="Subcriterios"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8"/>
  <sheetViews>
    <sheetView zoomScale="110" zoomScaleNormal="110" workbookViewId="0">
      <selection activeCell="B44" sqref="B44:H44"/>
    </sheetView>
  </sheetViews>
  <sheetFormatPr baseColWidth="10" defaultColWidth="11.44140625" defaultRowHeight="14.4" x14ac:dyDescent="0.3"/>
  <cols>
    <col min="1" max="1" width="2.77734375" style="84" customWidth="1"/>
    <col min="2" max="3" width="24.6640625" style="84" customWidth="1"/>
    <col min="4" max="4" width="16" style="84" customWidth="1"/>
    <col min="5" max="5" width="24.6640625" style="84" customWidth="1"/>
    <col min="6" max="6" width="27.6640625" style="84" customWidth="1"/>
    <col min="7" max="8" width="24.6640625" style="84" customWidth="1"/>
    <col min="9" max="16384" width="11.44140625" style="84"/>
  </cols>
  <sheetData>
    <row r="1" spans="2:8" ht="15" thickBot="1" x14ac:dyDescent="0.35"/>
    <row r="2" spans="2:8" ht="18" x14ac:dyDescent="0.3">
      <c r="B2" s="167" t="s">
        <v>149</v>
      </c>
      <c r="C2" s="168"/>
      <c r="D2" s="168"/>
      <c r="E2" s="168"/>
      <c r="F2" s="168"/>
      <c r="G2" s="168"/>
      <c r="H2" s="169"/>
    </row>
    <row r="3" spans="2:8" x14ac:dyDescent="0.3">
      <c r="B3" s="85"/>
      <c r="C3" s="86"/>
      <c r="D3" s="86"/>
      <c r="E3" s="86"/>
      <c r="F3" s="86"/>
      <c r="G3" s="86"/>
      <c r="H3" s="87"/>
    </row>
    <row r="4" spans="2:8" ht="63" customHeight="1" x14ac:dyDescent="0.3">
      <c r="B4" s="170" t="s">
        <v>173</v>
      </c>
      <c r="C4" s="171"/>
      <c r="D4" s="171"/>
      <c r="E4" s="171"/>
      <c r="F4" s="171"/>
      <c r="G4" s="171"/>
      <c r="H4" s="172"/>
    </row>
    <row r="5" spans="2:8" ht="63" customHeight="1" x14ac:dyDescent="0.3">
      <c r="B5" s="173"/>
      <c r="C5" s="174"/>
      <c r="D5" s="174"/>
      <c r="E5" s="174"/>
      <c r="F5" s="174"/>
      <c r="G5" s="174"/>
      <c r="H5" s="175"/>
    </row>
    <row r="6" spans="2:8" x14ac:dyDescent="0.3">
      <c r="B6" s="176" t="s">
        <v>147</v>
      </c>
      <c r="C6" s="177"/>
      <c r="D6" s="177"/>
      <c r="E6" s="177"/>
      <c r="F6" s="177"/>
      <c r="G6" s="177"/>
      <c r="H6" s="178"/>
    </row>
    <row r="7" spans="2:8" ht="95.25" customHeight="1" x14ac:dyDescent="0.3">
      <c r="B7" s="186" t="s">
        <v>151</v>
      </c>
      <c r="C7" s="187"/>
      <c r="D7" s="187"/>
      <c r="E7" s="187"/>
      <c r="F7" s="187"/>
      <c r="G7" s="187"/>
      <c r="H7" s="188"/>
    </row>
    <row r="8" spans="2:8" x14ac:dyDescent="0.3">
      <c r="B8" s="122"/>
      <c r="C8" s="123"/>
      <c r="D8" s="123"/>
      <c r="E8" s="123"/>
      <c r="F8" s="123"/>
      <c r="G8" s="123"/>
      <c r="H8" s="124"/>
    </row>
    <row r="9" spans="2:8" ht="16.5" customHeight="1" x14ac:dyDescent="0.3">
      <c r="B9" s="179" t="s">
        <v>166</v>
      </c>
      <c r="C9" s="180"/>
      <c r="D9" s="180"/>
      <c r="E9" s="180"/>
      <c r="F9" s="180"/>
      <c r="G9" s="180"/>
      <c r="H9" s="181"/>
    </row>
    <row r="10" spans="2:8" ht="44.25" customHeight="1" x14ac:dyDescent="0.3">
      <c r="B10" s="179"/>
      <c r="C10" s="180"/>
      <c r="D10" s="180"/>
      <c r="E10" s="180"/>
      <c r="F10" s="180"/>
      <c r="G10" s="180"/>
      <c r="H10" s="181"/>
    </row>
    <row r="11" spans="2:8" ht="15" thickBot="1" x14ac:dyDescent="0.35">
      <c r="B11" s="110"/>
      <c r="C11" s="113"/>
      <c r="D11" s="118"/>
      <c r="E11" s="119"/>
      <c r="F11" s="119"/>
      <c r="G11" s="120"/>
      <c r="H11" s="121"/>
    </row>
    <row r="12" spans="2:8" ht="15" thickTop="1" x14ac:dyDescent="0.3">
      <c r="B12" s="110"/>
      <c r="C12" s="182" t="s">
        <v>148</v>
      </c>
      <c r="D12" s="183"/>
      <c r="E12" s="184" t="s">
        <v>167</v>
      </c>
      <c r="F12" s="185"/>
      <c r="G12" s="113"/>
      <c r="H12" s="114"/>
    </row>
    <row r="13" spans="2:8" ht="35.25" customHeight="1" x14ac:dyDescent="0.3">
      <c r="B13" s="110"/>
      <c r="C13" s="189" t="s">
        <v>163</v>
      </c>
      <c r="D13" s="190"/>
      <c r="E13" s="191" t="s">
        <v>220</v>
      </c>
      <c r="F13" s="192"/>
      <c r="G13" s="113"/>
      <c r="H13" s="114"/>
    </row>
    <row r="14" spans="2:8" ht="35.25" customHeight="1" x14ac:dyDescent="0.3">
      <c r="B14" s="110"/>
      <c r="C14" s="189" t="s">
        <v>219</v>
      </c>
      <c r="D14" s="190"/>
      <c r="E14" s="191" t="s">
        <v>221</v>
      </c>
      <c r="F14" s="192"/>
      <c r="G14" s="113"/>
      <c r="H14" s="114"/>
    </row>
    <row r="15" spans="2:8" ht="25.8" customHeight="1" x14ac:dyDescent="0.3">
      <c r="B15" s="110"/>
      <c r="C15" s="189" t="s">
        <v>164</v>
      </c>
      <c r="D15" s="190"/>
      <c r="E15" s="191" t="s">
        <v>222</v>
      </c>
      <c r="F15" s="192"/>
      <c r="G15" s="113"/>
      <c r="H15" s="114"/>
    </row>
    <row r="16" spans="2:8" ht="25.2" customHeight="1" x14ac:dyDescent="0.3">
      <c r="B16" s="110"/>
      <c r="C16" s="189" t="s">
        <v>165</v>
      </c>
      <c r="D16" s="190"/>
      <c r="E16" s="191" t="s">
        <v>223</v>
      </c>
      <c r="F16" s="192"/>
      <c r="G16" s="113"/>
      <c r="H16" s="114"/>
    </row>
    <row r="17" spans="2:8" ht="21" customHeight="1" x14ac:dyDescent="0.3">
      <c r="B17" s="110"/>
      <c r="C17" s="189" t="s">
        <v>150</v>
      </c>
      <c r="D17" s="190"/>
      <c r="E17" s="191" t="s">
        <v>224</v>
      </c>
      <c r="F17" s="192"/>
      <c r="G17" s="113"/>
      <c r="H17" s="114"/>
    </row>
    <row r="18" spans="2:8" ht="83.55" customHeight="1" x14ac:dyDescent="0.3">
      <c r="B18" s="110"/>
      <c r="C18" s="163" t="s">
        <v>184</v>
      </c>
      <c r="D18" s="164"/>
      <c r="E18" s="165" t="s">
        <v>225</v>
      </c>
      <c r="F18" s="166"/>
      <c r="G18" s="113"/>
      <c r="H18" s="114"/>
    </row>
    <row r="19" spans="2:8" ht="34.5" customHeight="1" x14ac:dyDescent="0.3">
      <c r="B19" s="110"/>
      <c r="C19" s="163" t="s">
        <v>2</v>
      </c>
      <c r="D19" s="164"/>
      <c r="E19" s="165" t="s">
        <v>226</v>
      </c>
      <c r="F19" s="166"/>
      <c r="G19" s="113"/>
      <c r="H19" s="114"/>
    </row>
    <row r="20" spans="2:8" ht="87" customHeight="1" x14ac:dyDescent="0.3">
      <c r="B20" s="110"/>
      <c r="C20" s="193" t="s">
        <v>181</v>
      </c>
      <c r="D20" s="194"/>
      <c r="E20" s="165" t="s">
        <v>227</v>
      </c>
      <c r="F20" s="166"/>
      <c r="G20" s="113"/>
      <c r="H20" s="114"/>
    </row>
    <row r="21" spans="2:8" ht="103.2" customHeight="1" x14ac:dyDescent="0.3">
      <c r="B21" s="110"/>
      <c r="C21" s="193" t="s">
        <v>182</v>
      </c>
      <c r="D21" s="194"/>
      <c r="E21" s="165" t="s">
        <v>228</v>
      </c>
      <c r="F21" s="166"/>
      <c r="G21" s="113"/>
      <c r="H21" s="114"/>
    </row>
    <row r="22" spans="2:8" ht="72.75" customHeight="1" x14ac:dyDescent="0.3">
      <c r="B22" s="110"/>
      <c r="C22" s="193" t="s">
        <v>192</v>
      </c>
      <c r="D22" s="194"/>
      <c r="E22" s="165" t="s">
        <v>229</v>
      </c>
      <c r="F22" s="166"/>
      <c r="G22" s="113"/>
      <c r="H22" s="114"/>
    </row>
    <row r="23" spans="2:8" ht="72.75" customHeight="1" x14ac:dyDescent="0.3">
      <c r="B23" s="110"/>
      <c r="C23" s="193" t="s">
        <v>1</v>
      </c>
      <c r="D23" s="194"/>
      <c r="E23" s="165" t="s">
        <v>230</v>
      </c>
      <c r="F23" s="166"/>
      <c r="G23" s="113"/>
      <c r="H23" s="114"/>
    </row>
    <row r="24" spans="2:8" ht="102.45" customHeight="1" x14ac:dyDescent="0.3">
      <c r="B24" s="110"/>
      <c r="C24" s="193" t="s">
        <v>48</v>
      </c>
      <c r="D24" s="194"/>
      <c r="E24" s="165" t="s">
        <v>231</v>
      </c>
      <c r="F24" s="166"/>
      <c r="G24" s="113"/>
      <c r="H24" s="114"/>
    </row>
    <row r="25" spans="2:8" ht="106.2" customHeight="1" x14ac:dyDescent="0.3">
      <c r="B25" s="110"/>
      <c r="C25" s="193" t="s">
        <v>152</v>
      </c>
      <c r="D25" s="194"/>
      <c r="E25" s="165" t="s">
        <v>232</v>
      </c>
      <c r="F25" s="166"/>
      <c r="G25" s="113"/>
      <c r="H25" s="114"/>
    </row>
    <row r="26" spans="2:8" ht="87" customHeight="1" x14ac:dyDescent="0.3">
      <c r="B26" s="110"/>
      <c r="C26" s="163" t="s">
        <v>153</v>
      </c>
      <c r="D26" s="164"/>
      <c r="E26" s="165" t="s">
        <v>233</v>
      </c>
      <c r="F26" s="166"/>
      <c r="G26" s="113"/>
      <c r="H26" s="114"/>
    </row>
    <row r="27" spans="2:8" ht="42" customHeight="1" x14ac:dyDescent="0.3">
      <c r="B27" s="110"/>
      <c r="C27" s="163" t="s">
        <v>46</v>
      </c>
      <c r="D27" s="164"/>
      <c r="E27" s="165" t="s">
        <v>154</v>
      </c>
      <c r="F27" s="166"/>
      <c r="G27" s="113"/>
      <c r="H27" s="114"/>
    </row>
    <row r="28" spans="2:8" ht="30.45" customHeight="1" x14ac:dyDescent="0.3">
      <c r="B28" s="110"/>
      <c r="C28" s="163" t="s">
        <v>10</v>
      </c>
      <c r="D28" s="164"/>
      <c r="E28" s="165" t="s">
        <v>234</v>
      </c>
      <c r="F28" s="166"/>
      <c r="G28" s="113"/>
      <c r="H28" s="114"/>
    </row>
    <row r="29" spans="2:8" ht="59.25" customHeight="1" x14ac:dyDescent="0.3">
      <c r="B29" s="110"/>
      <c r="C29" s="163" t="s">
        <v>146</v>
      </c>
      <c r="D29" s="164"/>
      <c r="E29" s="165" t="s">
        <v>155</v>
      </c>
      <c r="F29" s="166"/>
      <c r="G29" s="113"/>
      <c r="H29" s="114"/>
    </row>
    <row r="30" spans="2:8" ht="27.45" customHeight="1" x14ac:dyDescent="0.3">
      <c r="B30" s="110"/>
      <c r="C30" s="163" t="s">
        <v>11</v>
      </c>
      <c r="D30" s="164"/>
      <c r="E30" s="165" t="s">
        <v>235</v>
      </c>
      <c r="F30" s="166"/>
      <c r="G30" s="113"/>
      <c r="H30" s="114"/>
    </row>
    <row r="31" spans="2:8" ht="41.55" customHeight="1" x14ac:dyDescent="0.3">
      <c r="B31" s="110"/>
      <c r="C31" s="163" t="s">
        <v>156</v>
      </c>
      <c r="D31" s="164"/>
      <c r="E31" s="165" t="s">
        <v>236</v>
      </c>
      <c r="F31" s="166"/>
      <c r="G31" s="113"/>
      <c r="H31" s="114"/>
    </row>
    <row r="32" spans="2:8" ht="35.25" customHeight="1" x14ac:dyDescent="0.3">
      <c r="B32" s="110"/>
      <c r="C32" s="163" t="s">
        <v>157</v>
      </c>
      <c r="D32" s="164"/>
      <c r="E32" s="165" t="s">
        <v>237</v>
      </c>
      <c r="F32" s="166"/>
      <c r="G32" s="113"/>
      <c r="H32" s="114"/>
    </row>
    <row r="33" spans="2:8" ht="30" customHeight="1" x14ac:dyDescent="0.3">
      <c r="B33" s="110"/>
      <c r="C33" s="163" t="s">
        <v>158</v>
      </c>
      <c r="D33" s="164"/>
      <c r="E33" s="165" t="s">
        <v>238</v>
      </c>
      <c r="F33" s="166"/>
      <c r="G33" s="113"/>
      <c r="H33" s="114"/>
    </row>
    <row r="34" spans="2:8" ht="35.25" customHeight="1" x14ac:dyDescent="0.3">
      <c r="B34" s="110"/>
      <c r="C34" s="163" t="s">
        <v>159</v>
      </c>
      <c r="D34" s="164"/>
      <c r="E34" s="165" t="s">
        <v>239</v>
      </c>
      <c r="F34" s="166"/>
      <c r="G34" s="113"/>
      <c r="H34" s="114"/>
    </row>
    <row r="35" spans="2:8" ht="31.5" customHeight="1" x14ac:dyDescent="0.3">
      <c r="B35" s="110"/>
      <c r="C35" s="163" t="s">
        <v>160</v>
      </c>
      <c r="D35" s="164"/>
      <c r="E35" s="165" t="s">
        <v>240</v>
      </c>
      <c r="F35" s="166"/>
      <c r="G35" s="113"/>
      <c r="H35" s="114"/>
    </row>
    <row r="36" spans="2:8" ht="35.25" customHeight="1" x14ac:dyDescent="0.3">
      <c r="B36" s="110"/>
      <c r="C36" s="163" t="s">
        <v>161</v>
      </c>
      <c r="D36" s="164"/>
      <c r="E36" s="165" t="s">
        <v>241</v>
      </c>
      <c r="F36" s="166"/>
      <c r="G36" s="113"/>
      <c r="H36" s="114"/>
    </row>
    <row r="37" spans="2:8" ht="101.55" customHeight="1" x14ac:dyDescent="0.3">
      <c r="B37" s="110"/>
      <c r="C37" s="163" t="s">
        <v>242</v>
      </c>
      <c r="D37" s="164"/>
      <c r="E37" s="165" t="s">
        <v>243</v>
      </c>
      <c r="F37" s="166"/>
      <c r="G37" s="113"/>
      <c r="H37" s="114"/>
    </row>
    <row r="38" spans="2:8" ht="29.25" customHeight="1" x14ac:dyDescent="0.3">
      <c r="B38" s="110"/>
      <c r="C38" s="163" t="s">
        <v>28</v>
      </c>
      <c r="D38" s="164"/>
      <c r="E38" s="165" t="s">
        <v>244</v>
      </c>
      <c r="F38" s="166"/>
      <c r="G38" s="113"/>
      <c r="H38" s="114"/>
    </row>
    <row r="39" spans="2:8" ht="82.5" customHeight="1" x14ac:dyDescent="0.3">
      <c r="B39" s="110"/>
      <c r="C39" s="163" t="s">
        <v>162</v>
      </c>
      <c r="D39" s="164"/>
      <c r="E39" s="165" t="s">
        <v>245</v>
      </c>
      <c r="F39" s="166"/>
      <c r="G39" s="113"/>
      <c r="H39" s="114"/>
    </row>
    <row r="40" spans="2:8" ht="46.5" customHeight="1" x14ac:dyDescent="0.3">
      <c r="B40" s="110"/>
      <c r="C40" s="163" t="s">
        <v>38</v>
      </c>
      <c r="D40" s="164"/>
      <c r="E40" s="165" t="s">
        <v>246</v>
      </c>
      <c r="F40" s="166"/>
      <c r="G40" s="113"/>
      <c r="H40" s="114"/>
    </row>
    <row r="41" spans="2:8" ht="6.75" customHeight="1" thickBot="1" x14ac:dyDescent="0.35">
      <c r="B41" s="110"/>
      <c r="C41" s="198"/>
      <c r="D41" s="199"/>
      <c r="E41" s="200"/>
      <c r="F41" s="201"/>
      <c r="G41" s="113"/>
      <c r="H41" s="114"/>
    </row>
    <row r="42" spans="2:8" ht="15" thickTop="1" x14ac:dyDescent="0.3">
      <c r="B42" s="110"/>
      <c r="C42" s="111"/>
      <c r="D42" s="111"/>
      <c r="E42" s="112"/>
      <c r="F42" s="112"/>
      <c r="G42" s="113"/>
      <c r="H42" s="114"/>
    </row>
    <row r="43" spans="2:8" ht="21" customHeight="1" x14ac:dyDescent="0.3">
      <c r="B43" s="195" t="s">
        <v>168</v>
      </c>
      <c r="C43" s="196"/>
      <c r="D43" s="196"/>
      <c r="E43" s="196"/>
      <c r="F43" s="196"/>
      <c r="G43" s="196"/>
      <c r="H43" s="197"/>
    </row>
    <row r="44" spans="2:8" ht="20.25" customHeight="1" x14ac:dyDescent="0.3">
      <c r="B44" s="195" t="s">
        <v>169</v>
      </c>
      <c r="C44" s="196"/>
      <c r="D44" s="196"/>
      <c r="E44" s="196"/>
      <c r="F44" s="196"/>
      <c r="G44" s="196"/>
      <c r="H44" s="197"/>
    </row>
    <row r="45" spans="2:8" ht="20.25" customHeight="1" x14ac:dyDescent="0.3">
      <c r="B45" s="195" t="s">
        <v>170</v>
      </c>
      <c r="C45" s="196"/>
      <c r="D45" s="196"/>
      <c r="E45" s="196"/>
      <c r="F45" s="196"/>
      <c r="G45" s="196"/>
      <c r="H45" s="197"/>
    </row>
    <row r="46" spans="2:8" ht="20.25" customHeight="1" x14ac:dyDescent="0.3">
      <c r="B46" s="195" t="s">
        <v>171</v>
      </c>
      <c r="C46" s="196"/>
      <c r="D46" s="196"/>
      <c r="E46" s="196"/>
      <c r="F46" s="196"/>
      <c r="G46" s="196"/>
      <c r="H46" s="197"/>
    </row>
    <row r="47" spans="2:8" x14ac:dyDescent="0.3">
      <c r="B47" s="195" t="s">
        <v>172</v>
      </c>
      <c r="C47" s="196"/>
      <c r="D47" s="196"/>
      <c r="E47" s="196"/>
      <c r="F47" s="196"/>
      <c r="G47" s="196"/>
      <c r="H47" s="197"/>
    </row>
    <row r="48" spans="2:8" ht="15" thickBot="1" x14ac:dyDescent="0.35">
      <c r="B48" s="115"/>
      <c r="C48" s="116"/>
      <c r="D48" s="116"/>
      <c r="E48" s="116"/>
      <c r="F48" s="116"/>
      <c r="G48" s="116"/>
      <c r="H48" s="117"/>
    </row>
  </sheetData>
  <mergeCells count="70">
    <mergeCell ref="E32:F32"/>
    <mergeCell ref="C32:D32"/>
    <mergeCell ref="C17:D17"/>
    <mergeCell ref="E17:F17"/>
    <mergeCell ref="C15:D15"/>
    <mergeCell ref="E15:F15"/>
    <mergeCell ref="C16:D16"/>
    <mergeCell ref="E16:F16"/>
    <mergeCell ref="E25:F25"/>
    <mergeCell ref="C25:D25"/>
    <mergeCell ref="C29:D29"/>
    <mergeCell ref="E29:F29"/>
    <mergeCell ref="C28:D28"/>
    <mergeCell ref="E28:F28"/>
    <mergeCell ref="C24:D24"/>
    <mergeCell ref="C20:D20"/>
    <mergeCell ref="B44:H44"/>
    <mergeCell ref="C41:D41"/>
    <mergeCell ref="E41:F41"/>
    <mergeCell ref="C40:D40"/>
    <mergeCell ref="E40:F40"/>
    <mergeCell ref="C36:D36"/>
    <mergeCell ref="B43:H43"/>
    <mergeCell ref="C33:D33"/>
    <mergeCell ref="E33:F33"/>
    <mergeCell ref="E36:F36"/>
    <mergeCell ref="C37:D37"/>
    <mergeCell ref="C38:D38"/>
    <mergeCell ref="E38:F38"/>
    <mergeCell ref="C39:D39"/>
    <mergeCell ref="E39:F39"/>
    <mergeCell ref="B45:H45"/>
    <mergeCell ref="B46:H46"/>
    <mergeCell ref="B47:H47"/>
    <mergeCell ref="E26:F26"/>
    <mergeCell ref="C26:D26"/>
    <mergeCell ref="C27:D27"/>
    <mergeCell ref="E27:F27"/>
    <mergeCell ref="C30:D30"/>
    <mergeCell ref="E30:F30"/>
    <mergeCell ref="E37:F37"/>
    <mergeCell ref="C35:D35"/>
    <mergeCell ref="C34:D34"/>
    <mergeCell ref="E34:F34"/>
    <mergeCell ref="E35:F35"/>
    <mergeCell ref="C31:D31"/>
    <mergeCell ref="E31:F31"/>
    <mergeCell ref="C14:D14"/>
    <mergeCell ref="E14:F14"/>
    <mergeCell ref="C21:D21"/>
    <mergeCell ref="C23:D23"/>
    <mergeCell ref="E20:F20"/>
    <mergeCell ref="E21:F21"/>
    <mergeCell ref="E23:F23"/>
    <mergeCell ref="C19:D19"/>
    <mergeCell ref="E19:F19"/>
    <mergeCell ref="E24:F24"/>
    <mergeCell ref="B2:H2"/>
    <mergeCell ref="B4:H5"/>
    <mergeCell ref="B6:H6"/>
    <mergeCell ref="B9:H10"/>
    <mergeCell ref="C12:D12"/>
    <mergeCell ref="E12:F12"/>
    <mergeCell ref="B7:H7"/>
    <mergeCell ref="C13:D13"/>
    <mergeCell ref="E13:F13"/>
    <mergeCell ref="C18:D18"/>
    <mergeCell ref="E18:F18"/>
    <mergeCell ref="C22:D22"/>
    <mergeCell ref="E22:F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4140625" defaultRowHeight="13.8" x14ac:dyDescent="0.3"/>
  <cols>
    <col min="1" max="1" width="32.77734375" style="9" customWidth="1"/>
    <col min="2" max="16384" width="11.44140625" style="9"/>
  </cols>
  <sheetData>
    <row r="3" spans="1:1" x14ac:dyDescent="0.3">
      <c r="A3" s="10" t="s">
        <v>13</v>
      </c>
    </row>
    <row r="4" spans="1:1" x14ac:dyDescent="0.3">
      <c r="A4" s="10" t="s">
        <v>14</v>
      </c>
    </row>
    <row r="5" spans="1:1" x14ac:dyDescent="0.3">
      <c r="A5" s="10" t="s">
        <v>15</v>
      </c>
    </row>
    <row r="6" spans="1:1" x14ac:dyDescent="0.3">
      <c r="A6" s="10" t="s">
        <v>9</v>
      </c>
    </row>
    <row r="7" spans="1:1" x14ac:dyDescent="0.3">
      <c r="A7" s="10" t="s">
        <v>8</v>
      </c>
    </row>
    <row r="8" spans="1:1" x14ac:dyDescent="0.3">
      <c r="A8" s="10" t="s">
        <v>18</v>
      </c>
    </row>
    <row r="9" spans="1:1" x14ac:dyDescent="0.3">
      <c r="A9" s="10" t="s">
        <v>19</v>
      </c>
    </row>
    <row r="10" spans="1:1" x14ac:dyDescent="0.3">
      <c r="A10" s="10" t="s">
        <v>21</v>
      </c>
    </row>
    <row r="11" spans="1:1" x14ac:dyDescent="0.3">
      <c r="A11" s="10" t="s">
        <v>22</v>
      </c>
    </row>
    <row r="12" spans="1:1" x14ac:dyDescent="0.3">
      <c r="A12" s="10" t="s">
        <v>24</v>
      </c>
    </row>
    <row r="13" spans="1:1" x14ac:dyDescent="0.3">
      <c r="A13" s="10" t="s">
        <v>25</v>
      </c>
    </row>
    <row r="14" spans="1:1" x14ac:dyDescent="0.3">
      <c r="A14" s="10" t="s">
        <v>26</v>
      </c>
    </row>
    <row r="16" spans="1:1" x14ac:dyDescent="0.3">
      <c r="A16" s="10" t="s">
        <v>29</v>
      </c>
    </row>
    <row r="17" spans="1:1" x14ac:dyDescent="0.3">
      <c r="A17" s="10" t="s">
        <v>30</v>
      </c>
    </row>
    <row r="18" spans="1:1" x14ac:dyDescent="0.3">
      <c r="A18" s="10" t="s">
        <v>31</v>
      </c>
    </row>
    <row r="20" spans="1:1" x14ac:dyDescent="0.3">
      <c r="A20" s="10" t="s">
        <v>39</v>
      </c>
    </row>
    <row r="21" spans="1:1" x14ac:dyDescent="0.3">
      <c r="A21" s="10"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R73"/>
  <sheetViews>
    <sheetView tabSelected="1" topLeftCell="A19" zoomScale="60" zoomScaleNormal="60" workbookViewId="0">
      <selection activeCell="A23" sqref="A23:A28"/>
    </sheetView>
  </sheetViews>
  <sheetFormatPr baseColWidth="10" defaultColWidth="11.44140625" defaultRowHeight="13.8" x14ac:dyDescent="0.25"/>
  <cols>
    <col min="1" max="1" width="4" style="2" bestFit="1" customWidth="1"/>
    <col min="2" max="2" width="27.33203125" style="2" customWidth="1"/>
    <col min="3" max="4" width="36.109375" style="2" customWidth="1"/>
    <col min="5" max="5" width="32.44140625" style="1" customWidth="1"/>
    <col min="6" max="7" width="36.109375" style="2" customWidth="1"/>
    <col min="8" max="8" width="19" style="5" customWidth="1"/>
    <col min="9" max="9" width="17.77734375" style="1" customWidth="1"/>
    <col min="10" max="10" width="16.44140625" style="1" customWidth="1"/>
    <col min="11" max="11" width="6.33203125" style="1" bestFit="1" customWidth="1"/>
    <col min="12" max="12" width="27.33203125" style="1" bestFit="1" customWidth="1"/>
    <col min="13" max="13" width="30.44140625" style="1" hidden="1" customWidth="1"/>
    <col min="14" max="14" width="17.44140625" style="1" customWidth="1"/>
    <col min="15" max="15" width="6.33203125" style="1" bestFit="1" customWidth="1"/>
    <col min="16" max="16" width="16" style="1" customWidth="1"/>
    <col min="17" max="17" width="5.77734375" style="1" customWidth="1"/>
    <col min="18" max="18" width="31" style="1" customWidth="1"/>
    <col min="19" max="19" width="15.109375" style="1" bestFit="1" customWidth="1"/>
    <col min="20" max="20" width="6.77734375" style="1" customWidth="1"/>
    <col min="21" max="21" width="5" style="1" customWidth="1"/>
    <col min="22" max="22" width="5.44140625" style="1" customWidth="1"/>
    <col min="23" max="23" width="7.109375" style="1" customWidth="1"/>
    <col min="24" max="24" width="6.6640625" style="1" customWidth="1"/>
    <col min="25" max="25" width="7.44140625" style="1" customWidth="1"/>
    <col min="26" max="26" width="38.33203125" style="1" customWidth="1"/>
    <col min="27" max="27" width="8.6640625" style="1" customWidth="1"/>
    <col min="28" max="28" width="10.44140625" style="1" customWidth="1"/>
    <col min="29" max="29" width="9.33203125" style="1" customWidth="1"/>
    <col min="30" max="30" width="9.109375" style="1" customWidth="1"/>
    <col min="31" max="31" width="8.44140625" style="1" customWidth="1"/>
    <col min="32" max="32" width="7.33203125" style="1" customWidth="1"/>
    <col min="33" max="33" width="23" style="1" customWidth="1"/>
    <col min="34" max="34" width="18.77734375" style="1" customWidth="1"/>
    <col min="35" max="35" width="16.77734375" style="1" customWidth="1"/>
    <col min="36" max="36" width="14.77734375" style="1" customWidth="1"/>
    <col min="37" max="37" width="18.44140625" style="1" customWidth="1"/>
    <col min="38" max="38" width="21" style="1" customWidth="1"/>
    <col min="39" max="16384" width="11.44140625" style="1"/>
  </cols>
  <sheetData>
    <row r="1" spans="1:70" ht="16.5" customHeight="1" x14ac:dyDescent="0.25">
      <c r="A1" s="252" t="s">
        <v>127</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4"/>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row>
    <row r="2" spans="1:70" ht="24" customHeight="1" x14ac:dyDescent="0.25">
      <c r="A2" s="255"/>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7"/>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x14ac:dyDescent="0.25">
      <c r="A3" s="28"/>
      <c r="B3" s="29"/>
      <c r="C3" s="28"/>
      <c r="D3" s="28"/>
      <c r="E3" s="8"/>
      <c r="F3" s="28"/>
      <c r="G3" s="28"/>
      <c r="H3" s="27"/>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26.25" customHeight="1" x14ac:dyDescent="0.3">
      <c r="A4" s="227" t="s">
        <v>41</v>
      </c>
      <c r="B4" s="228"/>
      <c r="C4" s="202" t="s">
        <v>274</v>
      </c>
      <c r="D4" s="203"/>
      <c r="E4" s="203"/>
      <c r="F4" s="203"/>
      <c r="G4" s="203"/>
      <c r="H4" s="203"/>
      <c r="I4" s="203"/>
      <c r="J4" s="203"/>
      <c r="K4" s="203"/>
      <c r="L4" s="203"/>
      <c r="M4" s="203"/>
      <c r="N4" s="203"/>
      <c r="O4" s="203"/>
      <c r="P4" s="204"/>
      <c r="Q4" s="249"/>
      <c r="R4" s="249"/>
      <c r="S4" s="249"/>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26.25" customHeight="1" x14ac:dyDescent="0.3">
      <c r="A5" s="227" t="s">
        <v>174</v>
      </c>
      <c r="B5" s="228"/>
      <c r="C5" s="229" t="s">
        <v>256</v>
      </c>
      <c r="D5" s="203"/>
      <c r="E5" s="203"/>
      <c r="F5" s="203"/>
      <c r="G5" s="203"/>
      <c r="H5" s="203"/>
      <c r="I5" s="203"/>
      <c r="J5" s="203"/>
      <c r="K5" s="203"/>
      <c r="L5" s="203"/>
      <c r="M5" s="203"/>
      <c r="N5" s="203"/>
      <c r="O5" s="203"/>
      <c r="P5" s="204"/>
      <c r="Q5" s="249"/>
      <c r="R5" s="249"/>
      <c r="S5" s="249"/>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30" customHeight="1" x14ac:dyDescent="0.3">
      <c r="A6" s="227" t="s">
        <v>115</v>
      </c>
      <c r="B6" s="228"/>
      <c r="C6" s="232" t="s">
        <v>286</v>
      </c>
      <c r="D6" s="203"/>
      <c r="E6" s="203"/>
      <c r="F6" s="203"/>
      <c r="G6" s="203"/>
      <c r="H6" s="203"/>
      <c r="I6" s="203"/>
      <c r="J6" s="203"/>
      <c r="K6" s="203"/>
      <c r="L6" s="203"/>
      <c r="M6" s="203"/>
      <c r="N6" s="203"/>
      <c r="O6" s="203"/>
      <c r="P6" s="204"/>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row>
    <row r="7" spans="1:70" ht="49.5" customHeight="1" x14ac:dyDescent="0.3">
      <c r="A7" s="227" t="s">
        <v>42</v>
      </c>
      <c r="B7" s="228"/>
      <c r="C7" s="232" t="s">
        <v>287</v>
      </c>
      <c r="D7" s="203"/>
      <c r="E7" s="203"/>
      <c r="F7" s="203"/>
      <c r="G7" s="203"/>
      <c r="H7" s="203"/>
      <c r="I7" s="203"/>
      <c r="J7" s="203"/>
      <c r="K7" s="203"/>
      <c r="L7" s="203"/>
      <c r="M7" s="203"/>
      <c r="N7" s="203"/>
      <c r="O7" s="203"/>
      <c r="P7" s="204"/>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row>
    <row r="8" spans="1:70" x14ac:dyDescent="0.25">
      <c r="A8" s="258" t="s">
        <v>123</v>
      </c>
      <c r="B8" s="259"/>
      <c r="C8" s="259"/>
      <c r="D8" s="259"/>
      <c r="E8" s="259"/>
      <c r="F8" s="259"/>
      <c r="G8" s="259"/>
      <c r="H8" s="259"/>
      <c r="I8" s="260"/>
      <c r="J8" s="258" t="s">
        <v>124</v>
      </c>
      <c r="K8" s="259"/>
      <c r="L8" s="259"/>
      <c r="M8" s="259"/>
      <c r="N8" s="259"/>
      <c r="O8" s="259"/>
      <c r="P8" s="260"/>
      <c r="Q8" s="258" t="s">
        <v>125</v>
      </c>
      <c r="R8" s="259"/>
      <c r="S8" s="259"/>
      <c r="T8" s="259"/>
      <c r="U8" s="259"/>
      <c r="V8" s="259"/>
      <c r="W8" s="259"/>
      <c r="X8" s="259"/>
      <c r="Y8" s="260"/>
      <c r="Z8" s="258" t="s">
        <v>126</v>
      </c>
      <c r="AA8" s="259"/>
      <c r="AB8" s="259"/>
      <c r="AC8" s="259"/>
      <c r="AD8" s="259"/>
      <c r="AE8" s="259"/>
      <c r="AF8" s="260"/>
      <c r="AG8" s="258" t="s">
        <v>33</v>
      </c>
      <c r="AH8" s="259"/>
      <c r="AI8" s="259"/>
      <c r="AJ8" s="259"/>
      <c r="AK8" s="259"/>
      <c r="AL8" s="260"/>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row>
    <row r="9" spans="1:70" ht="16.5" customHeight="1" x14ac:dyDescent="0.25">
      <c r="A9" s="261" t="s">
        <v>0</v>
      </c>
      <c r="B9" s="235" t="s">
        <v>183</v>
      </c>
      <c r="C9" s="251" t="s">
        <v>2</v>
      </c>
      <c r="D9" s="240" t="s">
        <v>181</v>
      </c>
      <c r="E9" s="235" t="s">
        <v>182</v>
      </c>
      <c r="F9" s="250" t="s">
        <v>192</v>
      </c>
      <c r="G9" s="250" t="s">
        <v>1</v>
      </c>
      <c r="H9" s="240" t="s">
        <v>48</v>
      </c>
      <c r="I9" s="235" t="s">
        <v>119</v>
      </c>
      <c r="J9" s="236" t="s">
        <v>32</v>
      </c>
      <c r="K9" s="237" t="s">
        <v>4</v>
      </c>
      <c r="L9" s="240" t="s">
        <v>84</v>
      </c>
      <c r="M9" s="240" t="s">
        <v>89</v>
      </c>
      <c r="N9" s="239" t="s">
        <v>43</v>
      </c>
      <c r="O9" s="237" t="s">
        <v>4</v>
      </c>
      <c r="P9" s="235" t="s">
        <v>46</v>
      </c>
      <c r="Q9" s="230" t="s">
        <v>10</v>
      </c>
      <c r="R9" s="234" t="s">
        <v>146</v>
      </c>
      <c r="S9" s="240" t="s">
        <v>11</v>
      </c>
      <c r="T9" s="234" t="s">
        <v>7</v>
      </c>
      <c r="U9" s="234"/>
      <c r="V9" s="234"/>
      <c r="W9" s="234"/>
      <c r="X9" s="234"/>
      <c r="Y9" s="234"/>
      <c r="Z9" s="233" t="s">
        <v>122</v>
      </c>
      <c r="AA9" s="233" t="s">
        <v>44</v>
      </c>
      <c r="AB9" s="233" t="s">
        <v>4</v>
      </c>
      <c r="AC9" s="233" t="s">
        <v>45</v>
      </c>
      <c r="AD9" s="233" t="s">
        <v>4</v>
      </c>
      <c r="AE9" s="233" t="s">
        <v>47</v>
      </c>
      <c r="AF9" s="230" t="s">
        <v>28</v>
      </c>
      <c r="AG9" s="234" t="s">
        <v>33</v>
      </c>
      <c r="AH9" s="234" t="s">
        <v>34</v>
      </c>
      <c r="AI9" s="234" t="s">
        <v>35</v>
      </c>
      <c r="AJ9" s="234" t="s">
        <v>37</v>
      </c>
      <c r="AK9" s="234" t="s">
        <v>36</v>
      </c>
      <c r="AL9" s="234" t="s">
        <v>38</v>
      </c>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row>
    <row r="10" spans="1:70" s="4" customFormat="1" ht="94.5" customHeight="1" x14ac:dyDescent="0.3">
      <c r="A10" s="262"/>
      <c r="B10" s="234"/>
      <c r="C10" s="251"/>
      <c r="D10" s="235"/>
      <c r="E10" s="234"/>
      <c r="F10" s="251"/>
      <c r="G10" s="251"/>
      <c r="H10" s="235"/>
      <c r="I10" s="234"/>
      <c r="J10" s="235"/>
      <c r="K10" s="238"/>
      <c r="L10" s="235"/>
      <c r="M10" s="235"/>
      <c r="N10" s="238"/>
      <c r="O10" s="238"/>
      <c r="P10" s="234"/>
      <c r="Q10" s="231"/>
      <c r="R10" s="234"/>
      <c r="S10" s="235"/>
      <c r="T10" s="7" t="s">
        <v>12</v>
      </c>
      <c r="U10" s="7" t="s">
        <v>16</v>
      </c>
      <c r="V10" s="7" t="s">
        <v>27</v>
      </c>
      <c r="W10" s="7" t="s">
        <v>17</v>
      </c>
      <c r="X10" s="7" t="s">
        <v>20</v>
      </c>
      <c r="Y10" s="7" t="s">
        <v>23</v>
      </c>
      <c r="Z10" s="233"/>
      <c r="AA10" s="233"/>
      <c r="AB10" s="233"/>
      <c r="AC10" s="233"/>
      <c r="AD10" s="233"/>
      <c r="AE10" s="233"/>
      <c r="AF10" s="231"/>
      <c r="AG10" s="234"/>
      <c r="AH10" s="234"/>
      <c r="AI10" s="234"/>
      <c r="AJ10" s="234"/>
      <c r="AK10" s="234"/>
      <c r="AL10" s="234"/>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row>
    <row r="11" spans="1:70" s="3" customFormat="1" ht="118.8" customHeight="1" x14ac:dyDescent="0.3">
      <c r="A11" s="212">
        <v>1</v>
      </c>
      <c r="B11" s="215" t="s">
        <v>190</v>
      </c>
      <c r="C11" s="215" t="s">
        <v>116</v>
      </c>
      <c r="D11" s="159" t="s">
        <v>288</v>
      </c>
      <c r="E11" s="205" t="s">
        <v>289</v>
      </c>
      <c r="F11" s="205" t="s">
        <v>197</v>
      </c>
      <c r="G11" s="205" t="s">
        <v>290</v>
      </c>
      <c r="H11" s="205" t="s">
        <v>217</v>
      </c>
      <c r="I11" s="208">
        <v>1</v>
      </c>
      <c r="J11" s="209" t="str">
        <f>IF(I11&lt;=0,"",IF(I11&lt;=5,"Muy Baja",IF(I11&lt;=24,"Baja",IF(I11&lt;=150,"Media",IF(I11&lt;=300,"Alta","Muy Alta")))))</f>
        <v>Muy Baja</v>
      </c>
      <c r="K11" s="221">
        <f>IF(J11="","",IF(J11="Muy Baja",0.2,IF(J11="Baja",0.4,IF(J11="Media",0.6,IF(J11="Alta",0.8,IF(J11="Muy Alta",1,))))))</f>
        <v>0.2</v>
      </c>
      <c r="L11" s="224" t="s">
        <v>138</v>
      </c>
      <c r="M11" s="221" t="str">
        <f>IF(NOT(ISERROR(MATCH(L11,'Tabla Impacto'!$B$221:$B$223,0))),'Tabla Impacto'!$F$223&amp;"Por favor no seleccionar los criterios de impacto(Afectación Económica o presupuestal y Pérdida Reputacional)",L11)</f>
        <v xml:space="preserve">     El riesgo afecta la imagen de la entidad con algunos usuarios de relevancia frente al logro de los objetivos</v>
      </c>
      <c r="N11" s="209" t="str">
        <f>IF(OR(M11='Tabla Impacto'!$C$11,M11='Tabla Impacto'!$D$11),"Leve",IF(OR(M11='Tabla Impacto'!$C$12,M11='Tabla Impacto'!$D$12),"Menor",IF(OR(M11='Tabla Impacto'!$C$13,M11='Tabla Impacto'!$D$13),"Moderado",IF(OR(M11='Tabla Impacto'!$C$14,M11='Tabla Impacto'!$D$14),"Mayor",IF(OR(M11='Tabla Impacto'!$C$15,M11='Tabla Impacto'!$D$15),"Catastrófico","")))))</f>
        <v>Moderado</v>
      </c>
      <c r="O11" s="221">
        <f>IF(N11="","",IF(N11="Leve",0.2,IF(N11="Menor",0.4,IF(N11="Moderado",0.6,IF(N11="Mayor",0.8,IF(N11="Catastrófico",1,))))))</f>
        <v>0.6</v>
      </c>
      <c r="P11" s="218" t="str">
        <f>IF(OR(AND(J11="Muy Baja",N11="Leve"),AND(J11="Muy Baja",N11="Menor"),AND(J11="Baja",N11="Leve")),"Bajo",IF(OR(AND(J11="Muy baja",N11="Moderado"),AND(J11="Baja",N11="Menor"),AND(J11="Baja",N11="Moderado"),AND(J11="Media",N11="Leve"),AND(J11="Media",N11="Menor"),AND(J11="Media",N11="Moderado"),AND(J11="Alta",N11="Leve"),AND(J11="Alta",N11="Menor")),"Moderado",IF(OR(AND(J11="Muy Baja",N11="Mayor"),AND(J11="Baja",N11="Mayor"),AND(J11="Media",N11="Mayor"),AND(J11="Alta",N11="Moderado"),AND(J11="Alta",N11="Mayor"),AND(J11="Muy Alta",N11="Leve"),AND(J11="Muy Alta",N11="Menor"),AND(J11="Muy Alta",N11="Moderado"),AND(J11="Muy Alta",N11="Mayor")),"Alto",IF(OR(AND(J11="Muy Baja",N11="Catastrófico"),AND(J11="Baja",N11="Catastrófico"),AND(J11="Media",N11="Catastrófico"),AND(J11="Alta",N11="Catastrófico"),AND(J11="Muy Alta",N11="Catastrófico")),"Extremo",""))))</f>
        <v>Moderado</v>
      </c>
      <c r="Q11" s="125">
        <v>1</v>
      </c>
      <c r="R11" s="162" t="s">
        <v>291</v>
      </c>
      <c r="S11" s="127" t="str">
        <f>IF(OR(T11="Preventivo",T11="Detectivo"),"Probabilidad",IF(T11="Correctivo","Impacto",""))</f>
        <v>Probabilidad</v>
      </c>
      <c r="T11" s="128" t="s">
        <v>14</v>
      </c>
      <c r="U11" s="128" t="s">
        <v>9</v>
      </c>
      <c r="V11" s="129" t="str">
        <f>IF(AND(T11="Preventivo",U11="Automático"),"50%",IF(AND(T11="Preventivo",U11="Manual"),"40%",IF(AND(T11="Detectivo",U11="Automático"),"40%",IF(AND(T11="Detectivo",U11="Manual"),"30%",IF(AND(T11="Correctivo",U11="Automático"),"35%",IF(AND(T11="Correctivo",U11="Manual"),"25%",""))))))</f>
        <v>40%</v>
      </c>
      <c r="W11" s="128"/>
      <c r="X11" s="128"/>
      <c r="Y11" s="128"/>
      <c r="Z11" s="130">
        <f>IFERROR(IF(S11="Probabilidad",(K11-(+K11*V11)),IF(S11="Impacto",K11,"")),"")</f>
        <v>0.12</v>
      </c>
      <c r="AA11" s="131" t="str">
        <f>IFERROR(IF(Z11="","",IF(Z11&lt;=0.2,"Muy Baja",IF(Z11&lt;=0.4,"Baja",IF(Z11&lt;=0.6,"Media",IF(Z11&lt;=0.8,"Alta","Muy Alta"))))),"")</f>
        <v>Muy Baja</v>
      </c>
      <c r="AB11" s="132">
        <f>+Z11</f>
        <v>0.12</v>
      </c>
      <c r="AC11" s="131" t="str">
        <f>IFERROR(IF(AD11="","",IF(AD11&lt;=0.2,"Leve",IF(AD11&lt;=0.4,"Menor",IF(AD11&lt;=0.6,"Moderado",IF(AD11&lt;=0.8,"Mayor","Catastrófico"))))),"")</f>
        <v>Moderado</v>
      </c>
      <c r="AD11" s="132">
        <f>IFERROR(IF(S11="Impacto",(O11-(+O11*V11)),IF(S11="Probabilidad",O11,"")),"")</f>
        <v>0.6</v>
      </c>
      <c r="AE11" s="133" t="str">
        <f>IFERROR(IF(OR(AND(AA11="Muy Baja",AC11="Leve"),AND(AA11="Muy Baja",AC11="Menor"),AND(AA11="Baja",AC11="Leve")),"Bajo",IF(OR(AND(AA11="Muy baja",AC11="Moderado"),AND(AA11="Baja",AC11="Menor"),AND(AA11="Baja",AC11="Moderado"),AND(AA11="Media",AC11="Leve"),AND(AA11="Media",AC11="Menor"),AND(AA11="Media",AC11="Moderado"),AND(AA11="Alta",AC11="Leve"),AND(AA11="Alta",AC11="Menor")),"Moderado",IF(OR(AND(AA11="Muy Baja",AC11="Mayor"),AND(AA11="Baja",AC11="Mayor"),AND(AA11="Media",AC11="Mayor"),AND(AA11="Alta",AC11="Moderado"),AND(AA11="Alta",AC11="Mayor"),AND(AA11="Muy Alta",AC11="Leve"),AND(AA11="Muy Alta",AC11="Menor"),AND(AA11="Muy Alta",AC11="Moderado"),AND(AA11="Muy Alta",AC11="Mayor")),"Alto",IF(OR(AND(AA11="Muy Baja",AC11="Catastrófico"),AND(AA11="Baja",AC11="Catastrófico"),AND(AA11="Media",AC11="Catastrófico"),AND(AA11="Alta",AC11="Catastrófico"),AND(AA11="Muy Alta",AC11="Catastrófico")),"Extremo","")))),"")</f>
        <v>Moderado</v>
      </c>
      <c r="AF11" s="134" t="s">
        <v>121</v>
      </c>
      <c r="AG11" s="135"/>
      <c r="AH11" s="136"/>
      <c r="AI11" s="137"/>
      <c r="AJ11" s="137"/>
      <c r="AK11" s="135"/>
      <c r="AL11" s="13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row>
    <row r="12" spans="1:70" ht="104.4" customHeight="1" x14ac:dyDescent="0.25">
      <c r="A12" s="213"/>
      <c r="B12" s="216"/>
      <c r="C12" s="216"/>
      <c r="D12" s="160"/>
      <c r="E12" s="206"/>
      <c r="F12" s="206"/>
      <c r="G12" s="206"/>
      <c r="H12" s="206"/>
      <c r="I12" s="206"/>
      <c r="J12" s="210"/>
      <c r="K12" s="222"/>
      <c r="L12" s="225"/>
      <c r="M12" s="222">
        <f>IF(NOT(ISERROR(MATCH(L12,_xlfn.ANCHORARRAY(G23),0))),K25&amp;"Por favor no seleccionar los criterios de impacto",L12)</f>
        <v>0</v>
      </c>
      <c r="N12" s="210"/>
      <c r="O12" s="222"/>
      <c r="P12" s="219"/>
      <c r="Q12" s="125">
        <v>2</v>
      </c>
      <c r="R12" s="162" t="s">
        <v>292</v>
      </c>
      <c r="S12" s="127" t="str">
        <f>IF(OR(T12="Preventivo",T12="Detectivo"),"Probabilidad",IF(T12="Correctivo","Impacto",""))</f>
        <v>Impacto</v>
      </c>
      <c r="T12" s="128" t="s">
        <v>15</v>
      </c>
      <c r="U12" s="128" t="s">
        <v>8</v>
      </c>
      <c r="V12" s="129" t="str">
        <f t="shared" ref="V12:V16" si="0">IF(AND(T12="Preventivo",U12="Automático"),"50%",IF(AND(T12="Preventivo",U12="Manual"),"40%",IF(AND(T12="Detectivo",U12="Automático"),"40%",IF(AND(T12="Detectivo",U12="Manual"),"30%",IF(AND(T12="Correctivo",U12="Automático"),"35%",IF(AND(T12="Correctivo",U12="Manual"),"25%",""))))))</f>
        <v>25%</v>
      </c>
      <c r="W12" s="128" t="s">
        <v>19</v>
      </c>
      <c r="X12" s="128" t="s">
        <v>21</v>
      </c>
      <c r="Y12" s="128" t="s">
        <v>111</v>
      </c>
      <c r="Z12" s="130">
        <f>IFERROR(IF(AND(S11="Probabilidad",S12="Probabilidad"),(AB11-(+AB11*V12)),IF(S12="Probabilidad",(K11-(+K11*V12)),IF(S12="Impacto",AB11,""))),"")</f>
        <v>0.12</v>
      </c>
      <c r="AA12" s="131" t="str">
        <f t="shared" ref="AA12:AA70" si="1">IFERROR(IF(Z12="","",IF(Z12&lt;=0.2,"Muy Baja",IF(Z12&lt;=0.4,"Baja",IF(Z12&lt;=0.6,"Media",IF(Z12&lt;=0.8,"Alta","Muy Alta"))))),"")</f>
        <v>Muy Baja</v>
      </c>
      <c r="AB12" s="132">
        <f t="shared" ref="AB12:AB16" si="2">+Z12</f>
        <v>0.12</v>
      </c>
      <c r="AC12" s="131" t="str">
        <f t="shared" ref="AC12:AC70" si="3">IFERROR(IF(AD12="","",IF(AD12&lt;=0.2,"Leve",IF(AD12&lt;=0.4,"Menor",IF(AD12&lt;=0.6,"Moderado",IF(AD12&lt;=0.8,"Mayor","Catastrófico"))))),"")</f>
        <v>Moderado</v>
      </c>
      <c r="AD12" s="140">
        <f>IFERROR(IF(AND(S11="Impacto",S12="Impacto"),(AD11-(+AD11*V12)),IF(S12="Impacto",(O11-(+O11*V12)),IF(S12="Probabilidad",AD11,""))),"")</f>
        <v>0.44999999999999996</v>
      </c>
      <c r="AE12" s="133" t="str">
        <f t="shared" ref="AE12:AE16" si="4">IFERROR(IF(OR(AND(AA12="Muy Baja",AC12="Leve"),AND(AA12="Muy Baja",AC12="Menor"),AND(AA12="Baja",AC12="Leve")),"Bajo",IF(OR(AND(AA12="Muy baja",AC12="Moderado"),AND(AA12="Baja",AC12="Menor"),AND(AA12="Baja",AC12="Moderado"),AND(AA12="Media",AC12="Leve"),AND(AA12="Media",AC12="Menor"),AND(AA12="Media",AC12="Moderado"),AND(AA12="Alta",AC12="Leve"),AND(AA12="Alta",AC12="Menor")),"Moderado",IF(OR(AND(AA12="Muy Baja",AC12="Mayor"),AND(AA12="Baja",AC12="Mayor"),AND(AA12="Media",AC12="Mayor"),AND(AA12="Alta",AC12="Moderado"),AND(AA12="Alta",AC12="Mayor"),AND(AA12="Muy Alta",AC12="Leve"),AND(AA12="Muy Alta",AC12="Menor"),AND(AA12="Muy Alta",AC12="Moderado"),AND(AA12="Muy Alta",AC12="Mayor")),"Alto",IF(OR(AND(AA12="Muy Baja",AC12="Catastrófico"),AND(AA12="Baja",AC12="Catastrófico"),AND(AA12="Media",AC12="Catastrófico"),AND(AA12="Alta",AC12="Catastrófico"),AND(AA12="Muy Alta",AC12="Catastrófico")),"Extremo","")))),"")</f>
        <v>Moderado</v>
      </c>
      <c r="AF12" s="134"/>
      <c r="AG12" s="135"/>
      <c r="AH12" s="136"/>
      <c r="AI12" s="137"/>
      <c r="AJ12" s="137"/>
      <c r="AK12" s="135"/>
      <c r="AL12" s="136"/>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row>
    <row r="13" spans="1:70" ht="19.2" customHeight="1" x14ac:dyDescent="0.25">
      <c r="A13" s="213"/>
      <c r="B13" s="216"/>
      <c r="C13" s="216"/>
      <c r="D13" s="160"/>
      <c r="E13" s="206"/>
      <c r="F13" s="206"/>
      <c r="G13" s="206"/>
      <c r="H13" s="206"/>
      <c r="I13" s="206"/>
      <c r="J13" s="210"/>
      <c r="K13" s="222"/>
      <c r="L13" s="225"/>
      <c r="M13" s="222">
        <f>IF(NOT(ISERROR(MATCH(L13,_xlfn.ANCHORARRAY(G24),0))),K26&amp;"Por favor no seleccionar los criterios de impacto",L13)</f>
        <v>0</v>
      </c>
      <c r="N13" s="210"/>
      <c r="O13" s="222"/>
      <c r="P13" s="219"/>
      <c r="Q13" s="125">
        <v>3</v>
      </c>
      <c r="R13" s="138"/>
      <c r="S13" s="127" t="str">
        <f>IF(OR(T13="Preventivo",T13="Detectivo"),"Probabilidad",IF(T13="Correctivo","Impacto",""))</f>
        <v/>
      </c>
      <c r="T13" s="128"/>
      <c r="U13" s="128"/>
      <c r="V13" s="129" t="str">
        <f t="shared" si="0"/>
        <v/>
      </c>
      <c r="W13" s="128"/>
      <c r="X13" s="128"/>
      <c r="Y13" s="128"/>
      <c r="Z13" s="130" t="str">
        <f>IFERROR(IF(AND(S12="Probabilidad",S13="Probabilidad"),(AB12-(+AB12*V13)),IF(AND(S12="Impacto",S13="Probabilidad"),(AB11-(+AB11*V13)),IF(S13="Impacto",AB12,""))),"")</f>
        <v/>
      </c>
      <c r="AA13" s="131" t="str">
        <f t="shared" si="1"/>
        <v/>
      </c>
      <c r="AB13" s="132" t="str">
        <f t="shared" si="2"/>
        <v/>
      </c>
      <c r="AC13" s="131" t="str">
        <f t="shared" si="3"/>
        <v/>
      </c>
      <c r="AD13" s="140" t="str">
        <f>IFERROR(IF(AND(S12="Impacto",S13="Impacto"),(AD12-(+AD12*V13)),IF(AND(S12="Probabilidad",S13="Impacto"),(AD11-(+AD11*V13)),IF(S13="Probabilidad",AD12,""))),"")</f>
        <v/>
      </c>
      <c r="AE13" s="133" t="str">
        <f t="shared" si="4"/>
        <v/>
      </c>
      <c r="AF13" s="134"/>
      <c r="AG13" s="135"/>
      <c r="AH13" s="136"/>
      <c r="AI13" s="137"/>
      <c r="AJ13" s="137"/>
      <c r="AK13" s="135"/>
      <c r="AL13" s="136"/>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row>
    <row r="14" spans="1:70" ht="24" customHeight="1" x14ac:dyDescent="0.25">
      <c r="A14" s="213"/>
      <c r="B14" s="216"/>
      <c r="C14" s="216"/>
      <c r="D14" s="160"/>
      <c r="E14" s="206"/>
      <c r="F14" s="206"/>
      <c r="G14" s="206"/>
      <c r="H14" s="206"/>
      <c r="I14" s="206"/>
      <c r="J14" s="210"/>
      <c r="K14" s="222"/>
      <c r="L14" s="225"/>
      <c r="M14" s="222">
        <f>IF(NOT(ISERROR(MATCH(L14,_xlfn.ANCHORARRAY(G25),0))),K27&amp;"Por favor no seleccionar los criterios de impacto",L14)</f>
        <v>0</v>
      </c>
      <c r="N14" s="210"/>
      <c r="O14" s="222"/>
      <c r="P14" s="219"/>
      <c r="Q14" s="125">
        <v>4</v>
      </c>
      <c r="R14" s="126"/>
      <c r="S14" s="127" t="str">
        <f t="shared" ref="S14:S16" si="5">IF(OR(T14="Preventivo",T14="Detectivo"),"Probabilidad",IF(T14="Correctivo","Impacto",""))</f>
        <v/>
      </c>
      <c r="T14" s="128"/>
      <c r="U14" s="128"/>
      <c r="V14" s="129" t="str">
        <f t="shared" si="0"/>
        <v/>
      </c>
      <c r="W14" s="128"/>
      <c r="X14" s="128"/>
      <c r="Y14" s="128"/>
      <c r="Z14" s="130" t="str">
        <f t="shared" ref="Z14:Z16" si="6">IFERROR(IF(AND(S13="Probabilidad",S14="Probabilidad"),(AB13-(+AB13*V14)),IF(AND(S13="Impacto",S14="Probabilidad"),(AB12-(+AB12*V14)),IF(S14="Impacto",AB13,""))),"")</f>
        <v/>
      </c>
      <c r="AA14" s="131" t="str">
        <f t="shared" si="1"/>
        <v/>
      </c>
      <c r="AB14" s="132" t="str">
        <f t="shared" si="2"/>
        <v/>
      </c>
      <c r="AC14" s="131" t="str">
        <f t="shared" si="3"/>
        <v/>
      </c>
      <c r="AD14" s="140" t="str">
        <f t="shared" ref="AD14:AD16" si="7">IFERROR(IF(AND(S13="Impacto",S14="Impacto"),(AD13-(+AD13*V14)),IF(AND(S13="Probabilidad",S14="Impacto"),(AD12-(+AD12*V14)),IF(S14="Probabilidad",AD13,""))),"")</f>
        <v/>
      </c>
      <c r="AE14" s="133" t="str">
        <f>IFERROR(IF(OR(AND(AA14="Muy Baja",AC14="Leve"),AND(AA14="Muy Baja",AC14="Menor"),AND(AA14="Baja",AC14="Leve")),"Bajo",IF(OR(AND(AA14="Muy baja",AC14="Moderado"),AND(AA14="Baja",AC14="Menor"),AND(AA14="Baja",AC14="Moderado"),AND(AA14="Media",AC14="Leve"),AND(AA14="Media",AC14="Menor"),AND(AA14="Media",AC14="Moderado"),AND(AA14="Alta",AC14="Leve"),AND(AA14="Alta",AC14="Menor")),"Moderado",IF(OR(AND(AA14="Muy Baja",AC14="Mayor"),AND(AA14="Baja",AC14="Mayor"),AND(AA14="Media",AC14="Mayor"),AND(AA14="Alta",AC14="Moderado"),AND(AA14="Alta",AC14="Mayor"),AND(AA14="Muy Alta",AC14="Leve"),AND(AA14="Muy Alta",AC14="Menor"),AND(AA14="Muy Alta",AC14="Moderado"),AND(AA14="Muy Alta",AC14="Mayor")),"Alto",IF(OR(AND(AA14="Muy Baja",AC14="Catastrófico"),AND(AA14="Baja",AC14="Catastrófico"),AND(AA14="Media",AC14="Catastrófico"),AND(AA14="Alta",AC14="Catastrófico"),AND(AA14="Muy Alta",AC14="Catastrófico")),"Extremo","")))),"")</f>
        <v/>
      </c>
      <c r="AF14" s="134"/>
      <c r="AG14" s="135"/>
      <c r="AH14" s="136"/>
      <c r="AI14" s="137"/>
      <c r="AJ14" s="137"/>
      <c r="AK14" s="135"/>
      <c r="AL14" s="136"/>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row>
    <row r="15" spans="1:70" ht="22.2" customHeight="1" x14ac:dyDescent="0.25">
      <c r="A15" s="213"/>
      <c r="B15" s="216"/>
      <c r="C15" s="216"/>
      <c r="D15" s="160"/>
      <c r="E15" s="206"/>
      <c r="F15" s="206"/>
      <c r="G15" s="206"/>
      <c r="H15" s="206"/>
      <c r="I15" s="206"/>
      <c r="J15" s="210"/>
      <c r="K15" s="222"/>
      <c r="L15" s="225"/>
      <c r="M15" s="222">
        <f>IF(NOT(ISERROR(MATCH(L15,_xlfn.ANCHORARRAY(G26),0))),K28&amp;"Por favor no seleccionar los criterios de impacto",L15)</f>
        <v>0</v>
      </c>
      <c r="N15" s="210"/>
      <c r="O15" s="222"/>
      <c r="P15" s="219"/>
      <c r="Q15" s="125">
        <v>5</v>
      </c>
      <c r="R15" s="126"/>
      <c r="S15" s="127" t="str">
        <f t="shared" si="5"/>
        <v/>
      </c>
      <c r="T15" s="128"/>
      <c r="U15" s="128"/>
      <c r="V15" s="129" t="str">
        <f t="shared" si="0"/>
        <v/>
      </c>
      <c r="W15" s="128"/>
      <c r="X15" s="128"/>
      <c r="Y15" s="128"/>
      <c r="Z15" s="130" t="str">
        <f t="shared" si="6"/>
        <v/>
      </c>
      <c r="AA15" s="131" t="str">
        <f t="shared" si="1"/>
        <v/>
      </c>
      <c r="AB15" s="132" t="str">
        <f t="shared" si="2"/>
        <v/>
      </c>
      <c r="AC15" s="131" t="str">
        <f t="shared" si="3"/>
        <v/>
      </c>
      <c r="AD15" s="140" t="str">
        <f t="shared" si="7"/>
        <v/>
      </c>
      <c r="AE15" s="133" t="str">
        <f t="shared" si="4"/>
        <v/>
      </c>
      <c r="AF15" s="134"/>
      <c r="AG15" s="135"/>
      <c r="AH15" s="136"/>
      <c r="AI15" s="137"/>
      <c r="AJ15" s="137"/>
      <c r="AK15" s="135"/>
      <c r="AL15" s="136"/>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row>
    <row r="16" spans="1:70" ht="21" customHeight="1" x14ac:dyDescent="0.25">
      <c r="A16" s="214"/>
      <c r="B16" s="217"/>
      <c r="C16" s="217"/>
      <c r="D16" s="161"/>
      <c r="E16" s="207"/>
      <c r="F16" s="207"/>
      <c r="G16" s="207"/>
      <c r="H16" s="207"/>
      <c r="I16" s="207"/>
      <c r="J16" s="211"/>
      <c r="K16" s="223"/>
      <c r="L16" s="226"/>
      <c r="M16" s="223">
        <f>IF(NOT(ISERROR(MATCH(L16,_xlfn.ANCHORARRAY(G27),0))),K29&amp;"Por favor no seleccionar los criterios de impacto",L16)</f>
        <v>0</v>
      </c>
      <c r="N16" s="211"/>
      <c r="O16" s="223"/>
      <c r="P16" s="220"/>
      <c r="Q16" s="125">
        <v>6</v>
      </c>
      <c r="R16" s="126"/>
      <c r="S16" s="127" t="str">
        <f t="shared" si="5"/>
        <v/>
      </c>
      <c r="T16" s="128"/>
      <c r="U16" s="128"/>
      <c r="V16" s="129" t="str">
        <f t="shared" si="0"/>
        <v/>
      </c>
      <c r="W16" s="128"/>
      <c r="X16" s="128"/>
      <c r="Y16" s="128"/>
      <c r="Z16" s="130" t="str">
        <f t="shared" si="6"/>
        <v/>
      </c>
      <c r="AA16" s="131" t="str">
        <f t="shared" si="1"/>
        <v/>
      </c>
      <c r="AB16" s="132" t="str">
        <f t="shared" si="2"/>
        <v/>
      </c>
      <c r="AC16" s="131" t="str">
        <f t="shared" si="3"/>
        <v/>
      </c>
      <c r="AD16" s="140" t="str">
        <f t="shared" si="7"/>
        <v/>
      </c>
      <c r="AE16" s="133" t="str">
        <f t="shared" si="4"/>
        <v/>
      </c>
      <c r="AF16" s="134"/>
      <c r="AG16" s="135"/>
      <c r="AH16" s="136"/>
      <c r="AI16" s="137"/>
      <c r="AJ16" s="137"/>
      <c r="AK16" s="135"/>
      <c r="AL16" s="136"/>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row>
    <row r="17" spans="1:70" ht="151.5" customHeight="1" x14ac:dyDescent="0.25">
      <c r="A17" s="212">
        <v>2</v>
      </c>
      <c r="B17" s="215" t="s">
        <v>190</v>
      </c>
      <c r="C17" s="215" t="s">
        <v>116</v>
      </c>
      <c r="D17" s="159" t="s">
        <v>293</v>
      </c>
      <c r="E17" s="205" t="s">
        <v>294</v>
      </c>
      <c r="F17" s="205" t="s">
        <v>196</v>
      </c>
      <c r="G17" s="205" t="s">
        <v>295</v>
      </c>
      <c r="H17" s="215" t="s">
        <v>217</v>
      </c>
      <c r="I17" s="244">
        <v>1</v>
      </c>
      <c r="J17" s="209" t="str">
        <f>IF(I17&lt;=0,"",IF(I17&lt;=2,"Muy Baja",IF(I17&lt;=24,"Baja",IF(I17&lt;=500,"Media",IF(I17&lt;=5000,"Alta","Muy Alta")))))</f>
        <v>Muy Baja</v>
      </c>
      <c r="K17" s="221">
        <f>IF(J17="","",IF(J17="Muy Baja",0.2,IF(J17="Baja",0.4,IF(J17="Media",0.6,IF(J17="Alta",0.8,IF(J17="Muy Alta",1,))))))</f>
        <v>0.2</v>
      </c>
      <c r="L17" s="224" t="s">
        <v>138</v>
      </c>
      <c r="M17" s="221" t="str">
        <f>IF(NOT(ISERROR(MATCH(L17,'Tabla Impacto'!$B$221:$B$223,0))),'Tabla Impacto'!$F$223&amp;"Por favor no seleccionar los criterios de impacto(Afectación Económica o presupuestal y Pérdida Reputacional)",L17)</f>
        <v xml:space="preserve">     El riesgo afecta la imagen de la entidad con algunos usuarios de relevancia frente al logro de los objetivos</v>
      </c>
      <c r="N17" s="209" t="str">
        <f>IF(OR(M17='Tabla Impacto'!$C$11,M17='Tabla Impacto'!$D$11),"Leve",IF(OR(M17='Tabla Impacto'!$C$12,M17='Tabla Impacto'!$D$12),"Menor",IF(OR(M17='Tabla Impacto'!$C$13,M17='Tabla Impacto'!$D$13),"Moderado",IF(OR(M17='Tabla Impacto'!$C$14,M17='Tabla Impacto'!$D$14),"Mayor",IF(OR(M17='Tabla Impacto'!$C$15,M17='Tabla Impacto'!$D$15),"Catastrófico","")))))</f>
        <v>Moderado</v>
      </c>
      <c r="O17" s="221">
        <f>IF(N17="","",IF(N17="Leve",0.2,IF(N17="Menor",0.4,IF(N17="Moderado",0.6,IF(N17="Mayor",0.8,IF(N17="Catastrófico",1,))))))</f>
        <v>0.6</v>
      </c>
      <c r="P17" s="218" t="str">
        <f>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Moderado</v>
      </c>
      <c r="Q17" s="125">
        <v>1</v>
      </c>
      <c r="R17" s="162" t="s">
        <v>296</v>
      </c>
      <c r="S17" s="127" t="str">
        <f>IF(OR(T17="Preventivo",T17="Detectivo"),"Probabilidad",IF(T17="Correctivo","Impacto",""))</f>
        <v>Probabilidad</v>
      </c>
      <c r="T17" s="128" t="s">
        <v>13</v>
      </c>
      <c r="U17" s="128" t="s">
        <v>8</v>
      </c>
      <c r="V17" s="129" t="str">
        <f>IF(AND(T17="Preventivo",U17="Automático"),"50%",IF(AND(T17="Preventivo",U17="Manual"),"40%",IF(AND(T17="Detectivo",U17="Automático"),"40%",IF(AND(T17="Detectivo",U17="Manual"),"30%",IF(AND(T17="Correctivo",U17="Automático"),"35%",IF(AND(T17="Correctivo",U17="Manual"),"25%",""))))))</f>
        <v>40%</v>
      </c>
      <c r="W17" s="128" t="s">
        <v>19</v>
      </c>
      <c r="X17" s="128" t="s">
        <v>21</v>
      </c>
      <c r="Y17" s="128" t="s">
        <v>112</v>
      </c>
      <c r="Z17" s="130">
        <f>IFERROR(IF(S17="Probabilidad",(K17-(+K17*V17)),IF(S17="Impacto",K17,"")),"")</f>
        <v>0.12</v>
      </c>
      <c r="AA17" s="131" t="str">
        <f>IFERROR(IF(Z17="","",IF(Z17&lt;=0.2,"Muy Baja",IF(Z17&lt;=0.4,"Baja",IF(Z17&lt;=0.6,"Media",IF(Z17&lt;=0.8,"Alta","Muy Alta"))))),"")</f>
        <v>Muy Baja</v>
      </c>
      <c r="AB17" s="132">
        <f>+Z17</f>
        <v>0.12</v>
      </c>
      <c r="AC17" s="131" t="str">
        <f>IFERROR(IF(AD17="","",IF(AD17&lt;=0.2,"Leve",IF(AD17&lt;=0.4,"Menor",IF(AD17&lt;=0.6,"Moderado",IF(AD17&lt;=0.8,"Mayor","Catastrófico"))))),"")</f>
        <v>Moderado</v>
      </c>
      <c r="AD17" s="140">
        <f>IFERROR(IF(S17="Impacto",(O17-(+O17*V17)),IF(S17="Probabilidad",O17,"")),"")</f>
        <v>0.6</v>
      </c>
      <c r="AE17" s="133" t="str">
        <f>IFERROR(IF(OR(AND(AA17="Muy Baja",AC17="Leve"),AND(AA17="Muy Baja",AC17="Menor"),AND(AA17="Baja",AC17="Leve")),"Bajo",IF(OR(AND(AA17="Muy baja",AC17="Moderado"),AND(AA17="Baja",AC17="Menor"),AND(AA17="Baja",AC17="Moderado"),AND(AA17="Media",AC17="Leve"),AND(AA17="Media",AC17="Menor"),AND(AA17="Media",AC17="Moderado"),AND(AA17="Alta",AC17="Leve"),AND(AA17="Alta",AC17="Menor")),"Moderado",IF(OR(AND(AA17="Muy Baja",AC17="Mayor"),AND(AA17="Baja",AC17="Mayor"),AND(AA17="Media",AC17="Mayor"),AND(AA17="Alta",AC17="Moderado"),AND(AA17="Alta",AC17="Mayor"),AND(AA17="Muy Alta",AC17="Leve"),AND(AA17="Muy Alta",AC17="Menor"),AND(AA17="Muy Alta",AC17="Moderado"),AND(AA17="Muy Alta",AC17="Mayor")),"Alto",IF(OR(AND(AA17="Muy Baja",AC17="Catastrófico"),AND(AA17="Baja",AC17="Catastrófico"),AND(AA17="Media",AC17="Catastrófico"),AND(AA17="Alta",AC17="Catastrófico"),AND(AA17="Muy Alta",AC17="Catastrófico")),"Extremo","")))),"")</f>
        <v>Moderado</v>
      </c>
      <c r="AF17" s="134"/>
      <c r="AG17" s="135"/>
      <c r="AH17" s="136"/>
      <c r="AI17" s="137"/>
      <c r="AJ17" s="137"/>
      <c r="AK17" s="135"/>
      <c r="AL17" s="136"/>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row>
    <row r="18" spans="1:70" ht="117" customHeight="1" x14ac:dyDescent="0.25">
      <c r="A18" s="213"/>
      <c r="B18" s="216"/>
      <c r="C18" s="216"/>
      <c r="D18" s="142"/>
      <c r="E18" s="206"/>
      <c r="F18" s="206"/>
      <c r="G18" s="206"/>
      <c r="H18" s="216"/>
      <c r="I18" s="245"/>
      <c r="J18" s="210"/>
      <c r="K18" s="222"/>
      <c r="L18" s="225"/>
      <c r="M18" s="222">
        <f>IF(NOT(ISERROR(MATCH(L18,_xlfn.ANCHORARRAY(G29),0))),K31&amp;"Por favor no seleccionar los criterios de impacto",L18)</f>
        <v>0</v>
      </c>
      <c r="N18" s="210"/>
      <c r="O18" s="222"/>
      <c r="P18" s="219"/>
      <c r="Q18" s="125">
        <v>2</v>
      </c>
      <c r="R18" s="162" t="s">
        <v>297</v>
      </c>
      <c r="S18" s="127" t="str">
        <f>IF(OR(T18="Preventivo",T18="Detectivo"),"Probabilidad",IF(T18="Correctivo","Impacto",""))</f>
        <v>Probabilidad</v>
      </c>
      <c r="T18" s="128" t="s">
        <v>13</v>
      </c>
      <c r="U18" s="128" t="s">
        <v>8</v>
      </c>
      <c r="V18" s="129" t="str">
        <f t="shared" ref="V18:V22" si="8">IF(AND(T18="Preventivo",U18="Automático"),"50%",IF(AND(T18="Preventivo",U18="Manual"),"40%",IF(AND(T18="Detectivo",U18="Automático"),"40%",IF(AND(T18="Detectivo",U18="Manual"),"30%",IF(AND(T18="Correctivo",U18="Automático"),"35%",IF(AND(T18="Correctivo",U18="Manual"),"25%",""))))))</f>
        <v>40%</v>
      </c>
      <c r="W18" s="128" t="s">
        <v>19</v>
      </c>
      <c r="X18" s="128" t="s">
        <v>21</v>
      </c>
      <c r="Y18" s="128" t="s">
        <v>112</v>
      </c>
      <c r="Z18" s="130">
        <f>IFERROR(IF(AND(S17="Probabilidad",S18="Probabilidad"),(AB17-(+AB17*V18)),IF(S18="Probabilidad",(K17-(+K17*V18)),IF(S18="Impacto",AB17,""))),"")</f>
        <v>7.1999999999999995E-2</v>
      </c>
      <c r="AA18" s="131" t="str">
        <f t="shared" si="1"/>
        <v>Muy Baja</v>
      </c>
      <c r="AB18" s="132">
        <f t="shared" ref="AB18:AB22" si="9">+Z18</f>
        <v>7.1999999999999995E-2</v>
      </c>
      <c r="AC18" s="131" t="str">
        <f t="shared" si="3"/>
        <v>Moderado</v>
      </c>
      <c r="AD18" s="140">
        <f>IFERROR(IF(AND(S17="Impacto",S18="Impacto"),(AD17-(+AD17*V18)),IF(S18="Impacto",(O17-(+O17*V18)),IF(S18="Probabilidad",AD17,""))),"")</f>
        <v>0.6</v>
      </c>
      <c r="AE18" s="133" t="str">
        <f t="shared" ref="AE18:AE19" si="10">IFERROR(IF(OR(AND(AA18="Muy Baja",AC18="Leve"),AND(AA18="Muy Baja",AC18="Menor"),AND(AA18="Baja",AC18="Leve")),"Bajo",IF(OR(AND(AA18="Muy baja",AC18="Moderado"),AND(AA18="Baja",AC18="Menor"),AND(AA18="Baja",AC18="Moderado"),AND(AA18="Media",AC18="Leve"),AND(AA18="Media",AC18="Menor"),AND(AA18="Media",AC18="Moderado"),AND(AA18="Alta",AC18="Leve"),AND(AA18="Alta",AC18="Menor")),"Moderado",IF(OR(AND(AA18="Muy Baja",AC18="Mayor"),AND(AA18="Baja",AC18="Mayor"),AND(AA18="Media",AC18="Mayor"),AND(AA18="Alta",AC18="Moderado"),AND(AA18="Alta",AC18="Mayor"),AND(AA18="Muy Alta",AC18="Leve"),AND(AA18="Muy Alta",AC18="Menor"),AND(AA18="Muy Alta",AC18="Moderado"),AND(AA18="Muy Alta",AC18="Mayor")),"Alto",IF(OR(AND(AA18="Muy Baja",AC18="Catastrófico"),AND(AA18="Baja",AC18="Catastrófico"),AND(AA18="Media",AC18="Catastrófico"),AND(AA18="Alta",AC18="Catastrófico"),AND(AA18="Muy Alta",AC18="Catastrófico")),"Extremo","")))),"")</f>
        <v>Moderado</v>
      </c>
      <c r="AF18" s="134"/>
      <c r="AG18" s="135"/>
      <c r="AH18" s="136"/>
      <c r="AI18" s="137"/>
      <c r="AJ18" s="137"/>
      <c r="AK18" s="135"/>
      <c r="AL18" s="136"/>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row>
    <row r="19" spans="1:70" ht="20.399999999999999" customHeight="1" x14ac:dyDescent="0.25">
      <c r="A19" s="213"/>
      <c r="B19" s="216"/>
      <c r="C19" s="216"/>
      <c r="D19" s="142"/>
      <c r="E19" s="206"/>
      <c r="F19" s="206"/>
      <c r="G19" s="206"/>
      <c r="H19" s="216"/>
      <c r="I19" s="245"/>
      <c r="J19" s="210"/>
      <c r="K19" s="222"/>
      <c r="L19" s="225"/>
      <c r="M19" s="222">
        <f>IF(NOT(ISERROR(MATCH(L19,_xlfn.ANCHORARRAY(G30),0))),K32&amp;"Por favor no seleccionar los criterios de impacto",L19)</f>
        <v>0</v>
      </c>
      <c r="N19" s="210"/>
      <c r="O19" s="222"/>
      <c r="P19" s="219"/>
      <c r="Q19" s="125">
        <v>3</v>
      </c>
      <c r="R19" s="138"/>
      <c r="S19" s="127" t="str">
        <f>IF(OR(T19="Preventivo",T19="Detectivo"),"Probabilidad",IF(T19="Correctivo","Impacto",""))</f>
        <v/>
      </c>
      <c r="T19" s="128"/>
      <c r="U19" s="128"/>
      <c r="V19" s="129" t="str">
        <f t="shared" si="8"/>
        <v/>
      </c>
      <c r="W19" s="128"/>
      <c r="X19" s="128"/>
      <c r="Y19" s="128"/>
      <c r="Z19" s="130" t="str">
        <f>IFERROR(IF(AND(S18="Probabilidad",S19="Probabilidad"),(AB18-(+AB18*V19)),IF(AND(S18="Impacto",S19="Probabilidad"),(AB17-(+AB17*V19)),IF(S19="Impacto",AB18,""))),"")</f>
        <v/>
      </c>
      <c r="AA19" s="131" t="str">
        <f t="shared" si="1"/>
        <v/>
      </c>
      <c r="AB19" s="132" t="str">
        <f t="shared" si="9"/>
        <v/>
      </c>
      <c r="AC19" s="131" t="str">
        <f t="shared" si="3"/>
        <v/>
      </c>
      <c r="AD19" s="140" t="str">
        <f>IFERROR(IF(AND(S18="Impacto",S19="Impacto"),(AD18-(+AD18*V19)),IF(AND(S18="Probabilidad",S19="Impacto"),(AD17-(+AD17*V19)),IF(S19="Probabilidad",AD18,""))),"")</f>
        <v/>
      </c>
      <c r="AE19" s="133" t="str">
        <f t="shared" si="10"/>
        <v/>
      </c>
      <c r="AF19" s="134"/>
      <c r="AG19" s="135"/>
      <c r="AH19" s="136"/>
      <c r="AI19" s="137"/>
      <c r="AJ19" s="137"/>
      <c r="AK19" s="135"/>
      <c r="AL19" s="136"/>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row>
    <row r="20" spans="1:70" ht="18" customHeight="1" x14ac:dyDescent="0.25">
      <c r="A20" s="213"/>
      <c r="B20" s="216"/>
      <c r="C20" s="216"/>
      <c r="D20" s="142"/>
      <c r="E20" s="206"/>
      <c r="F20" s="206"/>
      <c r="G20" s="206"/>
      <c r="H20" s="216"/>
      <c r="I20" s="245"/>
      <c r="J20" s="210"/>
      <c r="K20" s="222"/>
      <c r="L20" s="225"/>
      <c r="M20" s="222">
        <f>IF(NOT(ISERROR(MATCH(L20,_xlfn.ANCHORARRAY(G31),0))),K33&amp;"Por favor no seleccionar los criterios de impacto",L20)</f>
        <v>0</v>
      </c>
      <c r="N20" s="210"/>
      <c r="O20" s="222"/>
      <c r="P20" s="219"/>
      <c r="Q20" s="125">
        <v>4</v>
      </c>
      <c r="R20" s="126"/>
      <c r="S20" s="127" t="str">
        <f t="shared" ref="S20:S22" si="11">IF(OR(T20="Preventivo",T20="Detectivo"),"Probabilidad",IF(T20="Correctivo","Impacto",""))</f>
        <v/>
      </c>
      <c r="T20" s="128"/>
      <c r="U20" s="128"/>
      <c r="V20" s="129" t="str">
        <f t="shared" si="8"/>
        <v/>
      </c>
      <c r="W20" s="128"/>
      <c r="X20" s="128"/>
      <c r="Y20" s="128"/>
      <c r="Z20" s="130" t="str">
        <f t="shared" ref="Z20:Z22" si="12">IFERROR(IF(AND(S19="Probabilidad",S20="Probabilidad"),(AB19-(+AB19*V20)),IF(AND(S19="Impacto",S20="Probabilidad"),(AB18-(+AB18*V20)),IF(S20="Impacto",AB19,""))),"")</f>
        <v/>
      </c>
      <c r="AA20" s="131" t="str">
        <f t="shared" si="1"/>
        <v/>
      </c>
      <c r="AB20" s="132" t="str">
        <f t="shared" si="9"/>
        <v/>
      </c>
      <c r="AC20" s="131" t="str">
        <f t="shared" si="3"/>
        <v/>
      </c>
      <c r="AD20" s="140" t="str">
        <f t="shared" ref="AD20:AD22" si="13">IFERROR(IF(AND(S19="Impacto",S20="Impacto"),(AD19-(+AD19*V20)),IF(AND(S19="Probabilidad",S20="Impacto"),(AD18-(+AD18*V20)),IF(S20="Probabilidad",AD19,""))),"")</f>
        <v/>
      </c>
      <c r="AE20" s="133" t="str">
        <f>IFERROR(IF(OR(AND(AA20="Muy Baja",AC20="Leve"),AND(AA20="Muy Baja",AC20="Menor"),AND(AA20="Baja",AC20="Leve")),"Bajo",IF(OR(AND(AA20="Muy baja",AC20="Moderado"),AND(AA20="Baja",AC20="Menor"),AND(AA20="Baja",AC20="Moderado"),AND(AA20="Media",AC20="Leve"),AND(AA20="Media",AC20="Menor"),AND(AA20="Media",AC20="Moderado"),AND(AA20="Alta",AC20="Leve"),AND(AA20="Alta",AC20="Menor")),"Moderado",IF(OR(AND(AA20="Muy Baja",AC20="Mayor"),AND(AA20="Baja",AC20="Mayor"),AND(AA20="Media",AC20="Mayor"),AND(AA20="Alta",AC20="Moderado"),AND(AA20="Alta",AC20="Mayor"),AND(AA20="Muy Alta",AC20="Leve"),AND(AA20="Muy Alta",AC20="Menor"),AND(AA20="Muy Alta",AC20="Moderado"),AND(AA20="Muy Alta",AC20="Mayor")),"Alto",IF(OR(AND(AA20="Muy Baja",AC20="Catastrófico"),AND(AA20="Baja",AC20="Catastrófico"),AND(AA20="Media",AC20="Catastrófico"),AND(AA20="Alta",AC20="Catastrófico"),AND(AA20="Muy Alta",AC20="Catastrófico")),"Extremo","")))),"")</f>
        <v/>
      </c>
      <c r="AF20" s="134"/>
      <c r="AG20" s="135"/>
      <c r="AH20" s="136"/>
      <c r="AI20" s="137"/>
      <c r="AJ20" s="137"/>
      <c r="AK20" s="135"/>
      <c r="AL20" s="136"/>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row>
    <row r="21" spans="1:70" ht="17.399999999999999" customHeight="1" x14ac:dyDescent="0.25">
      <c r="A21" s="213"/>
      <c r="B21" s="216"/>
      <c r="C21" s="216"/>
      <c r="D21" s="142"/>
      <c r="E21" s="206"/>
      <c r="F21" s="206"/>
      <c r="G21" s="206"/>
      <c r="H21" s="216"/>
      <c r="I21" s="245"/>
      <c r="J21" s="210"/>
      <c r="K21" s="222"/>
      <c r="L21" s="225"/>
      <c r="M21" s="222">
        <f>IF(NOT(ISERROR(MATCH(L21,_xlfn.ANCHORARRAY(G32),0))),K34&amp;"Por favor no seleccionar los criterios de impacto",L21)</f>
        <v>0</v>
      </c>
      <c r="N21" s="210"/>
      <c r="O21" s="222"/>
      <c r="P21" s="219"/>
      <c r="Q21" s="125">
        <v>5</v>
      </c>
      <c r="R21" s="126"/>
      <c r="S21" s="127" t="str">
        <f t="shared" si="11"/>
        <v/>
      </c>
      <c r="T21" s="128"/>
      <c r="U21" s="128"/>
      <c r="V21" s="129" t="str">
        <f t="shared" si="8"/>
        <v/>
      </c>
      <c r="W21" s="128"/>
      <c r="X21" s="128"/>
      <c r="Y21" s="128"/>
      <c r="Z21" s="130" t="str">
        <f t="shared" si="12"/>
        <v/>
      </c>
      <c r="AA21" s="131" t="str">
        <f t="shared" si="1"/>
        <v/>
      </c>
      <c r="AB21" s="132" t="str">
        <f t="shared" si="9"/>
        <v/>
      </c>
      <c r="AC21" s="131" t="str">
        <f t="shared" si="3"/>
        <v/>
      </c>
      <c r="AD21" s="140" t="str">
        <f t="shared" si="13"/>
        <v/>
      </c>
      <c r="AE21" s="133" t="str">
        <f t="shared" ref="AE21:AE22" si="14">IFERROR(IF(OR(AND(AA21="Muy Baja",AC21="Leve"),AND(AA21="Muy Baja",AC21="Menor"),AND(AA21="Baja",AC21="Leve")),"Bajo",IF(OR(AND(AA21="Muy baja",AC21="Moderado"),AND(AA21="Baja",AC21="Menor"),AND(AA21="Baja",AC21="Moderado"),AND(AA21="Media",AC21="Leve"),AND(AA21="Media",AC21="Menor"),AND(AA21="Media",AC21="Moderado"),AND(AA21="Alta",AC21="Leve"),AND(AA21="Alta",AC21="Menor")),"Moderado",IF(OR(AND(AA21="Muy Baja",AC21="Mayor"),AND(AA21="Baja",AC21="Mayor"),AND(AA21="Media",AC21="Mayor"),AND(AA21="Alta",AC21="Moderado"),AND(AA21="Alta",AC21="Mayor"),AND(AA21="Muy Alta",AC21="Leve"),AND(AA21="Muy Alta",AC21="Menor"),AND(AA21="Muy Alta",AC21="Moderado"),AND(AA21="Muy Alta",AC21="Mayor")),"Alto",IF(OR(AND(AA21="Muy Baja",AC21="Catastrófico"),AND(AA21="Baja",AC21="Catastrófico"),AND(AA21="Media",AC21="Catastrófico"),AND(AA21="Alta",AC21="Catastrófico"),AND(AA21="Muy Alta",AC21="Catastrófico")),"Extremo","")))),"")</f>
        <v/>
      </c>
      <c r="AF21" s="134"/>
      <c r="AG21" s="135"/>
      <c r="AH21" s="136"/>
      <c r="AI21" s="137"/>
      <c r="AJ21" s="137"/>
      <c r="AK21" s="135"/>
      <c r="AL21" s="136"/>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row>
    <row r="22" spans="1:70" ht="14.4" customHeight="1" x14ac:dyDescent="0.25">
      <c r="A22" s="214"/>
      <c r="B22" s="217"/>
      <c r="C22" s="217"/>
      <c r="D22" s="143"/>
      <c r="E22" s="207"/>
      <c r="F22" s="207"/>
      <c r="G22" s="207"/>
      <c r="H22" s="217"/>
      <c r="I22" s="246"/>
      <c r="J22" s="211"/>
      <c r="K22" s="223"/>
      <c r="L22" s="226"/>
      <c r="M22" s="223">
        <f>IF(NOT(ISERROR(MATCH(L22,_xlfn.ANCHORARRAY(G33),0))),K35&amp;"Por favor no seleccionar los criterios de impacto",L22)</f>
        <v>0</v>
      </c>
      <c r="N22" s="211"/>
      <c r="O22" s="223"/>
      <c r="P22" s="220"/>
      <c r="Q22" s="125">
        <v>6</v>
      </c>
      <c r="R22" s="126"/>
      <c r="S22" s="127" t="str">
        <f t="shared" si="11"/>
        <v/>
      </c>
      <c r="T22" s="128"/>
      <c r="U22" s="128"/>
      <c r="V22" s="129" t="str">
        <f t="shared" si="8"/>
        <v/>
      </c>
      <c r="W22" s="128"/>
      <c r="X22" s="128"/>
      <c r="Y22" s="128"/>
      <c r="Z22" s="130" t="str">
        <f t="shared" si="12"/>
        <v/>
      </c>
      <c r="AA22" s="131" t="str">
        <f t="shared" si="1"/>
        <v/>
      </c>
      <c r="AB22" s="132" t="str">
        <f t="shared" si="9"/>
        <v/>
      </c>
      <c r="AC22" s="131" t="str">
        <f t="shared" si="3"/>
        <v/>
      </c>
      <c r="AD22" s="140" t="str">
        <f t="shared" si="13"/>
        <v/>
      </c>
      <c r="AE22" s="133" t="str">
        <f t="shared" si="14"/>
        <v/>
      </c>
      <c r="AF22" s="134"/>
      <c r="AG22" s="135"/>
      <c r="AH22" s="136"/>
      <c r="AI22" s="137"/>
      <c r="AJ22" s="137"/>
      <c r="AK22" s="135"/>
      <c r="AL22" s="136"/>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row>
    <row r="23" spans="1:70" ht="189" customHeight="1" x14ac:dyDescent="0.25">
      <c r="A23" s="212">
        <v>3</v>
      </c>
      <c r="B23" s="215" t="s">
        <v>185</v>
      </c>
      <c r="C23" s="215" t="s">
        <v>116</v>
      </c>
      <c r="D23" s="141" t="s">
        <v>298</v>
      </c>
      <c r="E23" s="215" t="s">
        <v>299</v>
      </c>
      <c r="F23" s="241" t="s">
        <v>198</v>
      </c>
      <c r="G23" s="241" t="s">
        <v>300</v>
      </c>
      <c r="H23" s="215" t="s">
        <v>215</v>
      </c>
      <c r="I23" s="244">
        <v>24</v>
      </c>
      <c r="J23" s="209" t="str">
        <f>IF(I23&lt;=0,"",IF(I23&lt;=2,"Muy Baja",IF(I23&lt;=24,"Baja",IF(I23&lt;=500,"Media",IF(I23&lt;=5000,"Alta","Muy Alta")))))</f>
        <v>Baja</v>
      </c>
      <c r="K23" s="221">
        <f>IF(J23="","",IF(J23="Muy Baja",0.2,IF(J23="Baja",0.4,IF(J23="Media",0.6,IF(J23="Alta",0.8,IF(J23="Muy Alta",1,))))))</f>
        <v>0.4</v>
      </c>
      <c r="L23" s="224" t="s">
        <v>138</v>
      </c>
      <c r="M23" s="221" t="str">
        <f>IF(NOT(ISERROR(MATCH(L23,'Tabla Impacto'!$B$221:$B$223,0))),'Tabla Impacto'!$F$223&amp;"Por favor no seleccionar los criterios de impacto(Afectación Económica o presupuestal y Pérdida Reputacional)",L23)</f>
        <v xml:space="preserve">     El riesgo afecta la imagen de la entidad con algunos usuarios de relevancia frente al logro de los objetivos</v>
      </c>
      <c r="N23" s="209" t="str">
        <f>IF(OR(M23='Tabla Impacto'!$C$11,M23='Tabla Impacto'!$D$11),"Leve",IF(OR(M23='Tabla Impacto'!$C$12,M23='Tabla Impacto'!$D$12),"Menor",IF(OR(M23='Tabla Impacto'!$C$13,M23='Tabla Impacto'!$D$13),"Moderado",IF(OR(M23='Tabla Impacto'!$C$14,M23='Tabla Impacto'!$D$14),"Mayor",IF(OR(M23='Tabla Impacto'!$C$15,M23='Tabla Impacto'!$D$15),"Catastrófico","")))))</f>
        <v>Moderado</v>
      </c>
      <c r="O23" s="221">
        <f>IF(N23="","",IF(N23="Leve",0.2,IF(N23="Menor",0.4,IF(N23="Moderado",0.6,IF(N23="Mayor",0.8,IF(N23="Catastrófico",1,))))))</f>
        <v>0.6</v>
      </c>
      <c r="P23" s="218" t="str">
        <f>IF(OR(AND(J23="Muy Baja",N23="Leve"),AND(J23="Muy Baja",N23="Menor"),AND(J23="Baja",N23="Leve")),"Bajo",IF(OR(AND(J23="Muy baja",N23="Moderado"),AND(J23="Baja",N23="Menor"),AND(J23="Baja",N23="Moderado"),AND(J23="Media",N23="Leve"),AND(J23="Media",N23="Menor"),AND(J23="Media",N23="Moderado"),AND(J23="Alta",N23="Leve"),AND(J23="Alta",N23="Menor")),"Moderado",IF(OR(AND(J23="Muy Baja",N23="Mayor"),AND(J23="Baja",N23="Mayor"),AND(J23="Media",N23="Mayor"),AND(J23="Alta",N23="Moderado"),AND(J23="Alta",N23="Mayor"),AND(J23="Muy Alta",N23="Leve"),AND(J23="Muy Alta",N23="Menor"),AND(J23="Muy Alta",N23="Moderado"),AND(J23="Muy Alta",N23="Mayor")),"Alto",IF(OR(AND(J23="Muy Baja",N23="Catastrófico"),AND(J23="Baja",N23="Catastrófico"),AND(J23="Media",N23="Catastrófico"),AND(J23="Alta",N23="Catastrófico"),AND(J23="Muy Alta",N23="Catastrófico")),"Extremo",""))))</f>
        <v>Moderado</v>
      </c>
      <c r="Q23" s="125">
        <v>1</v>
      </c>
      <c r="R23" s="126" t="s">
        <v>301</v>
      </c>
      <c r="S23" s="127" t="str">
        <f>IF(OR(T23="Preventivo",T23="Detectivo"),"Probabilidad",IF(T23="Correctivo","Impacto",""))</f>
        <v>Probabilidad</v>
      </c>
      <c r="T23" s="128" t="s">
        <v>13</v>
      </c>
      <c r="U23" s="128" t="s">
        <v>8</v>
      </c>
      <c r="V23" s="129" t="str">
        <f>IF(AND(T23="Preventivo",U23="Automático"),"50%",IF(AND(T23="Preventivo",U23="Manual"),"40%",IF(AND(T23="Detectivo",U23="Automático"),"40%",IF(AND(T23="Detectivo",U23="Manual"),"30%",IF(AND(T23="Correctivo",U23="Automático"),"35%",IF(AND(T23="Correctivo",U23="Manual"),"25%",""))))))</f>
        <v>40%</v>
      </c>
      <c r="W23" s="128" t="s">
        <v>19</v>
      </c>
      <c r="X23" s="128" t="s">
        <v>21</v>
      </c>
      <c r="Y23" s="128" t="s">
        <v>111</v>
      </c>
      <c r="Z23" s="130">
        <f>IFERROR(IF(S23="Probabilidad",(K23-(+K23*V23)),IF(S23="Impacto",K23,"")),"")</f>
        <v>0.24</v>
      </c>
      <c r="AA23" s="131" t="str">
        <f>IFERROR(IF(Z23="","",IF(Z23&lt;=0.2,"Muy Baja",IF(Z23&lt;=0.4,"Baja",IF(Z23&lt;=0.6,"Media",IF(Z23&lt;=0.8,"Alta","Muy Alta"))))),"")</f>
        <v>Baja</v>
      </c>
      <c r="AB23" s="132">
        <f>+Z23</f>
        <v>0.24</v>
      </c>
      <c r="AC23" s="131" t="str">
        <f>IFERROR(IF(AD23="","",IF(AD23&lt;=0.2,"Leve",IF(AD23&lt;=0.4,"Menor",IF(AD23&lt;=0.6,"Moderado",IF(AD23&lt;=0.8,"Mayor","Catastrófico"))))),"")</f>
        <v>Moderado</v>
      </c>
      <c r="AD23" s="140">
        <f>IFERROR(IF(S23="Impacto",(O23-(+O23*V23)),IF(S23="Probabilidad",O23,"")),"")</f>
        <v>0.6</v>
      </c>
      <c r="AE23" s="133" t="str">
        <f>IFERROR(IF(OR(AND(AA23="Muy Baja",AC23="Leve"),AND(AA23="Muy Baja",AC23="Menor"),AND(AA23="Baja",AC23="Leve")),"Bajo",IF(OR(AND(AA23="Muy baja",AC23="Moderado"),AND(AA23="Baja",AC23="Menor"),AND(AA23="Baja",AC23="Moderado"),AND(AA23="Media",AC23="Leve"),AND(AA23="Media",AC23="Menor"),AND(AA23="Media",AC23="Moderado"),AND(AA23="Alta",AC23="Leve"),AND(AA23="Alta",AC23="Menor")),"Moderado",IF(OR(AND(AA23="Muy Baja",AC23="Mayor"),AND(AA23="Baja",AC23="Mayor"),AND(AA23="Media",AC23="Mayor"),AND(AA23="Alta",AC23="Moderado"),AND(AA23="Alta",AC23="Mayor"),AND(AA23="Muy Alta",AC23="Leve"),AND(AA23="Muy Alta",AC23="Menor"),AND(AA23="Muy Alta",AC23="Moderado"),AND(AA23="Muy Alta",AC23="Mayor")),"Alto",IF(OR(AND(AA23="Muy Baja",AC23="Catastrófico"),AND(AA23="Baja",AC23="Catastrófico"),AND(AA23="Media",AC23="Catastrófico"),AND(AA23="Alta",AC23="Catastrófico"),AND(AA23="Muy Alta",AC23="Catastrófico")),"Extremo","")))),"")</f>
        <v>Moderado</v>
      </c>
      <c r="AF23" s="134"/>
      <c r="AG23" s="135"/>
      <c r="AH23" s="136"/>
      <c r="AI23" s="137"/>
      <c r="AJ23" s="137"/>
      <c r="AK23" s="135"/>
      <c r="AL23" s="136"/>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row>
    <row r="24" spans="1:70" ht="173.4" customHeight="1" x14ac:dyDescent="0.25">
      <c r="A24" s="213"/>
      <c r="B24" s="216"/>
      <c r="C24" s="216"/>
      <c r="D24" s="142"/>
      <c r="E24" s="216"/>
      <c r="F24" s="242"/>
      <c r="G24" s="242"/>
      <c r="H24" s="216"/>
      <c r="I24" s="245"/>
      <c r="J24" s="210"/>
      <c r="K24" s="222"/>
      <c r="L24" s="225"/>
      <c r="M24" s="222">
        <f>IF(NOT(ISERROR(MATCH(L24,_xlfn.ANCHORARRAY(G35),0))),K37&amp;"Por favor no seleccionar los criterios de impacto",L24)</f>
        <v>0</v>
      </c>
      <c r="N24" s="210"/>
      <c r="O24" s="222"/>
      <c r="P24" s="219"/>
      <c r="Q24" s="125">
        <v>2</v>
      </c>
      <c r="R24" s="421" t="s">
        <v>302</v>
      </c>
      <c r="S24" s="127" t="str">
        <f>IF(OR(T24="Preventivo",T24="Detectivo"),"Probabilidad",IF(T24="Correctivo","Impacto",""))</f>
        <v>Impacto</v>
      </c>
      <c r="T24" s="128" t="s">
        <v>15</v>
      </c>
      <c r="U24" s="128" t="s">
        <v>8</v>
      </c>
      <c r="V24" s="129" t="str">
        <f>IF(AND(T24="Preventivo",U24="Automático"),"50%",IF(AND(T24="Preventivo",U24="Manual"),"40%",IF(AND(T24="Detectivo",U24="Automático"),"40%",IF(AND(T24="Detectivo",U24="Manual"),"30%",IF(AND(T24="Correctivo",U24="Automático"),"35%",IF(AND(T24="Correctivo",U24="Manual"),"25%",""))))))</f>
        <v>25%</v>
      </c>
      <c r="W24" s="128" t="s">
        <v>19</v>
      </c>
      <c r="X24" s="128" t="s">
        <v>21</v>
      </c>
      <c r="Y24" s="128" t="s">
        <v>111</v>
      </c>
      <c r="Z24" s="130">
        <f>IFERROR(IF(S24="Probabilidad",(K24-(+K24*V24)),IF(S24="Impacto",K24,"")),"")</f>
        <v>0</v>
      </c>
      <c r="AA24" s="131" t="str">
        <f t="shared" si="1"/>
        <v>Muy Baja</v>
      </c>
      <c r="AB24" s="132">
        <f t="shared" ref="AB24:AB28" si="15">+Z24</f>
        <v>0</v>
      </c>
      <c r="AC24" s="131" t="str">
        <f t="shared" si="3"/>
        <v>Moderado</v>
      </c>
      <c r="AD24" s="140">
        <f>IFERROR(IF(AND(S23="Impacto",S24="Impacto"),(AD23-(+AD23*V24)),IF(S24="Impacto",(O23-(+O23*V24)),IF(S24="Probabilidad",AD23,""))),"")</f>
        <v>0.44999999999999996</v>
      </c>
      <c r="AE24" s="133" t="str">
        <f t="shared" ref="AE24:AE25" si="16">IFERROR(IF(OR(AND(AA24="Muy Baja",AC24="Leve"),AND(AA24="Muy Baja",AC24="Menor"),AND(AA24="Baja",AC24="Leve")),"Bajo",IF(OR(AND(AA24="Muy baja",AC24="Moderado"),AND(AA24="Baja",AC24="Menor"),AND(AA24="Baja",AC24="Moderado"),AND(AA24="Media",AC24="Leve"),AND(AA24="Media",AC24="Menor"),AND(AA24="Media",AC24="Moderado"),AND(AA24="Alta",AC24="Leve"),AND(AA24="Alta",AC24="Menor")),"Moderado",IF(OR(AND(AA24="Muy Baja",AC24="Mayor"),AND(AA24="Baja",AC24="Mayor"),AND(AA24="Media",AC24="Mayor"),AND(AA24="Alta",AC24="Moderado"),AND(AA24="Alta",AC24="Mayor"),AND(AA24="Muy Alta",AC24="Leve"),AND(AA24="Muy Alta",AC24="Menor"),AND(AA24="Muy Alta",AC24="Moderado"),AND(AA24="Muy Alta",AC24="Mayor")),"Alto",IF(OR(AND(AA24="Muy Baja",AC24="Catastrófico"),AND(AA24="Baja",AC24="Catastrófico"),AND(AA24="Media",AC24="Catastrófico"),AND(AA24="Alta",AC24="Catastrófico"),AND(AA24="Muy Alta",AC24="Catastrófico")),"Extremo","")))),"")</f>
        <v>Moderado</v>
      </c>
      <c r="AF24" s="134"/>
      <c r="AG24" s="135"/>
      <c r="AH24" s="136"/>
      <c r="AI24" s="137"/>
      <c r="AJ24" s="137"/>
      <c r="AK24" s="135"/>
      <c r="AL24" s="136"/>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row>
    <row r="25" spans="1:70" ht="151.19999999999999" customHeight="1" x14ac:dyDescent="0.25">
      <c r="A25" s="213"/>
      <c r="B25" s="216"/>
      <c r="C25" s="216"/>
      <c r="D25" s="142"/>
      <c r="E25" s="216"/>
      <c r="F25" s="242"/>
      <c r="G25" s="242"/>
      <c r="H25" s="216"/>
      <c r="I25" s="245"/>
      <c r="J25" s="210"/>
      <c r="K25" s="222"/>
      <c r="L25" s="225"/>
      <c r="M25" s="222">
        <f>IF(NOT(ISERROR(MATCH(L25,_xlfn.ANCHORARRAY(G36),0))),K38&amp;"Por favor no seleccionar los criterios de impacto",L25)</f>
        <v>0</v>
      </c>
      <c r="N25" s="210"/>
      <c r="O25" s="222"/>
      <c r="P25" s="219"/>
      <c r="Q25" s="125">
        <v>3</v>
      </c>
      <c r="R25" s="420"/>
      <c r="S25" s="127"/>
      <c r="T25" s="128"/>
      <c r="U25" s="128"/>
      <c r="V25" s="129" t="str">
        <f t="shared" ref="V25:V28" si="17">IF(AND(T25="Preventivo",U25="Automático"),"50%",IF(AND(T25="Preventivo",U25="Manual"),"40%",IF(AND(T25="Detectivo",U25="Automático"),"40%",IF(AND(T25="Detectivo",U25="Manual"),"30%",IF(AND(T25="Correctivo",U25="Automático"),"35%",IF(AND(T25="Correctivo",U25="Manual"),"25%",""))))))</f>
        <v/>
      </c>
      <c r="W25" s="128"/>
      <c r="X25" s="128"/>
      <c r="Y25" s="128"/>
      <c r="Z25" s="130" t="str">
        <f>IFERROR(IF(AND(S24="Probabilidad",S25="Probabilidad"),(AB24-(+AB24*V25)),IF(AND(S24="Impacto",S25="Probabilidad"),(AB23-(+AB23*V25)),IF(S25="Impacto",AB24,""))),"")</f>
        <v/>
      </c>
      <c r="AA25" s="131" t="str">
        <f t="shared" si="1"/>
        <v/>
      </c>
      <c r="AB25" s="132" t="str">
        <f t="shared" si="15"/>
        <v/>
      </c>
      <c r="AC25" s="131" t="str">
        <f t="shared" si="3"/>
        <v/>
      </c>
      <c r="AD25" s="140" t="str">
        <f>IFERROR(IF(AND(S24="Impacto",S25="Impacto"),(AD24-(+AD24*V25)),IF(AND(S24="Probabilidad",S25="Impacto"),(AD23-(+AD23*V25)),IF(S25="Probabilidad",AD24,""))),"")</f>
        <v/>
      </c>
      <c r="AE25" s="133" t="str">
        <f t="shared" si="16"/>
        <v/>
      </c>
      <c r="AF25" s="134"/>
      <c r="AG25" s="135"/>
      <c r="AH25" s="136"/>
      <c r="AI25" s="137"/>
      <c r="AJ25" s="137"/>
      <c r="AK25" s="135"/>
      <c r="AL25" s="136"/>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row>
    <row r="26" spans="1:70" ht="20.399999999999999" customHeight="1" x14ac:dyDescent="0.25">
      <c r="A26" s="213"/>
      <c r="B26" s="216"/>
      <c r="C26" s="216"/>
      <c r="D26" s="142"/>
      <c r="E26" s="216"/>
      <c r="F26" s="242"/>
      <c r="G26" s="242"/>
      <c r="H26" s="216"/>
      <c r="I26" s="245"/>
      <c r="J26" s="210"/>
      <c r="K26" s="222"/>
      <c r="L26" s="225"/>
      <c r="M26" s="222">
        <f>IF(NOT(ISERROR(MATCH(L26,_xlfn.ANCHORARRAY(G37),0))),K39&amp;"Por favor no seleccionar los criterios de impacto",L26)</f>
        <v>0</v>
      </c>
      <c r="N26" s="210"/>
      <c r="O26" s="222"/>
      <c r="P26" s="219"/>
      <c r="Q26" s="125">
        <v>4</v>
      </c>
      <c r="R26" s="126"/>
      <c r="S26" s="127" t="str">
        <f t="shared" ref="S26:S28" si="18">IF(OR(T26="Preventivo",T26="Detectivo"),"Probabilidad",IF(T26="Correctivo","Impacto",""))</f>
        <v/>
      </c>
      <c r="T26" s="128"/>
      <c r="U26" s="128"/>
      <c r="V26" s="129" t="str">
        <f t="shared" si="17"/>
        <v/>
      </c>
      <c r="W26" s="128"/>
      <c r="X26" s="128"/>
      <c r="Y26" s="128"/>
      <c r="Z26" s="130" t="str">
        <f t="shared" ref="Z26:Z28" si="19">IFERROR(IF(AND(S25="Probabilidad",S26="Probabilidad"),(AB25-(+AB25*V26)),IF(AND(S25="Impacto",S26="Probabilidad"),(AB24-(+AB24*V26)),IF(S26="Impacto",AB25,""))),"")</f>
        <v/>
      </c>
      <c r="AA26" s="131" t="str">
        <f t="shared" si="1"/>
        <v/>
      </c>
      <c r="AB26" s="132" t="str">
        <f t="shared" si="15"/>
        <v/>
      </c>
      <c r="AC26" s="131" t="str">
        <f t="shared" si="3"/>
        <v/>
      </c>
      <c r="AD26" s="140" t="str">
        <f t="shared" ref="AD26:AD28" si="20">IFERROR(IF(AND(S25="Impacto",S26="Impacto"),(AD25-(+AD25*V26)),IF(AND(S25="Probabilidad",S26="Impacto"),(AD24-(+AD24*V26)),IF(S26="Probabilidad",AD25,""))),"")</f>
        <v/>
      </c>
      <c r="AE26" s="133" t="str">
        <f>IFERROR(IF(OR(AND(AA26="Muy Baja",AC26="Leve"),AND(AA26="Muy Baja",AC26="Menor"),AND(AA26="Baja",AC26="Leve")),"Bajo",IF(OR(AND(AA26="Muy baja",AC26="Moderado"),AND(AA26="Baja",AC26="Menor"),AND(AA26="Baja",AC26="Moderado"),AND(AA26="Media",AC26="Leve"),AND(AA26="Media",AC26="Menor"),AND(AA26="Media",AC26="Moderado"),AND(AA26="Alta",AC26="Leve"),AND(AA26="Alta",AC26="Menor")),"Moderado",IF(OR(AND(AA26="Muy Baja",AC26="Mayor"),AND(AA26="Baja",AC26="Mayor"),AND(AA26="Media",AC26="Mayor"),AND(AA26="Alta",AC26="Moderado"),AND(AA26="Alta",AC26="Mayor"),AND(AA26="Muy Alta",AC26="Leve"),AND(AA26="Muy Alta",AC26="Menor"),AND(AA26="Muy Alta",AC26="Moderado"),AND(AA26="Muy Alta",AC26="Mayor")),"Alto",IF(OR(AND(AA26="Muy Baja",AC26="Catastrófico"),AND(AA26="Baja",AC26="Catastrófico"),AND(AA26="Media",AC26="Catastrófico"),AND(AA26="Alta",AC26="Catastrófico"),AND(AA26="Muy Alta",AC26="Catastrófico")),"Extremo","")))),"")</f>
        <v/>
      </c>
      <c r="AF26" s="134"/>
      <c r="AG26" s="135"/>
      <c r="AH26" s="136"/>
      <c r="AI26" s="137"/>
      <c r="AJ26" s="137"/>
      <c r="AK26" s="135"/>
      <c r="AL26" s="136"/>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row>
    <row r="27" spans="1:70" ht="23.4" customHeight="1" x14ac:dyDescent="0.25">
      <c r="A27" s="213"/>
      <c r="B27" s="216"/>
      <c r="C27" s="216"/>
      <c r="D27" s="142"/>
      <c r="E27" s="216"/>
      <c r="F27" s="242"/>
      <c r="G27" s="242"/>
      <c r="H27" s="216"/>
      <c r="I27" s="245"/>
      <c r="J27" s="210"/>
      <c r="K27" s="222"/>
      <c r="L27" s="225"/>
      <c r="M27" s="222">
        <f>IF(NOT(ISERROR(MATCH(L27,_xlfn.ANCHORARRAY(G38),0))),K40&amp;"Por favor no seleccionar los criterios de impacto",L27)</f>
        <v>0</v>
      </c>
      <c r="N27" s="210"/>
      <c r="O27" s="222"/>
      <c r="P27" s="219"/>
      <c r="Q27" s="125">
        <v>5</v>
      </c>
      <c r="R27" s="126"/>
      <c r="S27" s="127" t="str">
        <f t="shared" si="18"/>
        <v/>
      </c>
      <c r="T27" s="128"/>
      <c r="U27" s="128"/>
      <c r="V27" s="129" t="str">
        <f t="shared" si="17"/>
        <v/>
      </c>
      <c r="W27" s="128"/>
      <c r="X27" s="128"/>
      <c r="Y27" s="128"/>
      <c r="Z27" s="130" t="str">
        <f t="shared" si="19"/>
        <v/>
      </c>
      <c r="AA27" s="131" t="str">
        <f t="shared" si="1"/>
        <v/>
      </c>
      <c r="AB27" s="132" t="str">
        <f t="shared" si="15"/>
        <v/>
      </c>
      <c r="AC27" s="131" t="str">
        <f t="shared" si="3"/>
        <v/>
      </c>
      <c r="AD27" s="140" t="str">
        <f t="shared" si="20"/>
        <v/>
      </c>
      <c r="AE27" s="133" t="str">
        <f t="shared" ref="AE27:AE28" si="21">IFERROR(IF(OR(AND(AA27="Muy Baja",AC27="Leve"),AND(AA27="Muy Baja",AC27="Menor"),AND(AA27="Baja",AC27="Leve")),"Bajo",IF(OR(AND(AA27="Muy baja",AC27="Moderado"),AND(AA27="Baja",AC27="Menor"),AND(AA27="Baja",AC27="Moderado"),AND(AA27="Media",AC27="Leve"),AND(AA27="Media",AC27="Menor"),AND(AA27="Media",AC27="Moderado"),AND(AA27="Alta",AC27="Leve"),AND(AA27="Alta",AC27="Menor")),"Moderado",IF(OR(AND(AA27="Muy Baja",AC27="Mayor"),AND(AA27="Baja",AC27="Mayor"),AND(AA27="Media",AC27="Mayor"),AND(AA27="Alta",AC27="Moderado"),AND(AA27="Alta",AC27="Mayor"),AND(AA27="Muy Alta",AC27="Leve"),AND(AA27="Muy Alta",AC27="Menor"),AND(AA27="Muy Alta",AC27="Moderado"),AND(AA27="Muy Alta",AC27="Mayor")),"Alto",IF(OR(AND(AA27="Muy Baja",AC27="Catastrófico"),AND(AA27="Baja",AC27="Catastrófico"),AND(AA27="Media",AC27="Catastrófico"),AND(AA27="Alta",AC27="Catastrófico"),AND(AA27="Muy Alta",AC27="Catastrófico")),"Extremo","")))),"")</f>
        <v/>
      </c>
      <c r="AF27" s="134"/>
      <c r="AG27" s="135"/>
      <c r="AH27" s="136"/>
      <c r="AI27" s="137"/>
      <c r="AJ27" s="137"/>
      <c r="AK27" s="135"/>
      <c r="AL27" s="136"/>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row>
    <row r="28" spans="1:70" ht="26.4" customHeight="1" x14ac:dyDescent="0.25">
      <c r="A28" s="214"/>
      <c r="B28" s="217"/>
      <c r="C28" s="217"/>
      <c r="D28" s="143"/>
      <c r="E28" s="217"/>
      <c r="F28" s="243"/>
      <c r="G28" s="243"/>
      <c r="H28" s="217"/>
      <c r="I28" s="246"/>
      <c r="J28" s="211"/>
      <c r="K28" s="223"/>
      <c r="L28" s="226"/>
      <c r="M28" s="223">
        <f>IF(NOT(ISERROR(MATCH(L28,_xlfn.ANCHORARRAY(G39),0))),K41&amp;"Por favor no seleccionar los criterios de impacto",L28)</f>
        <v>0</v>
      </c>
      <c r="N28" s="211"/>
      <c r="O28" s="223"/>
      <c r="P28" s="220"/>
      <c r="Q28" s="125">
        <v>6</v>
      </c>
      <c r="R28" s="126"/>
      <c r="S28" s="127" t="str">
        <f t="shared" si="18"/>
        <v/>
      </c>
      <c r="T28" s="128"/>
      <c r="U28" s="128"/>
      <c r="V28" s="129" t="str">
        <f t="shared" si="17"/>
        <v/>
      </c>
      <c r="W28" s="128"/>
      <c r="X28" s="128"/>
      <c r="Y28" s="128"/>
      <c r="Z28" s="130" t="str">
        <f t="shared" si="19"/>
        <v/>
      </c>
      <c r="AA28" s="131" t="str">
        <f t="shared" si="1"/>
        <v/>
      </c>
      <c r="AB28" s="132" t="str">
        <f t="shared" si="15"/>
        <v/>
      </c>
      <c r="AC28" s="131" t="str">
        <f t="shared" si="3"/>
        <v/>
      </c>
      <c r="AD28" s="140" t="str">
        <f t="shared" si="20"/>
        <v/>
      </c>
      <c r="AE28" s="133" t="str">
        <f t="shared" si="21"/>
        <v/>
      </c>
      <c r="AF28" s="134"/>
      <c r="AG28" s="135"/>
      <c r="AH28" s="136"/>
      <c r="AI28" s="137"/>
      <c r="AJ28" s="137"/>
      <c r="AK28" s="135"/>
      <c r="AL28" s="136"/>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row>
    <row r="29" spans="1:70" ht="151.5" customHeight="1" x14ac:dyDescent="0.25">
      <c r="A29" s="212">
        <v>4</v>
      </c>
      <c r="B29" s="215"/>
      <c r="C29" s="215"/>
      <c r="D29" s="141"/>
      <c r="E29" s="215"/>
      <c r="F29" s="241"/>
      <c r="G29" s="241"/>
      <c r="H29" s="215"/>
      <c r="I29" s="244"/>
      <c r="J29" s="209" t="str">
        <f>IF(I29&lt;=0,"",IF(I29&lt;=2,"Muy Baja",IF(I29&lt;=24,"Baja",IF(I29&lt;=500,"Media",IF(I29&lt;=5000,"Alta","Muy Alta")))))</f>
        <v/>
      </c>
      <c r="K29" s="221" t="str">
        <f>IF(J29="","",IF(J29="Muy Baja",0.2,IF(J29="Baja",0.4,IF(J29="Media",0.6,IF(J29="Alta",0.8,IF(J29="Muy Alta",1,))))))</f>
        <v/>
      </c>
      <c r="L29" s="224"/>
      <c r="M29" s="221">
        <f>IF(NOT(ISERROR(MATCH(L29,'Tabla Impacto'!$B$221:$B$223,0))),'Tabla Impacto'!$F$223&amp;"Por favor no seleccionar los criterios de impacto(Afectación Económica o presupuestal y Pérdida Reputacional)",L29)</f>
        <v>0</v>
      </c>
      <c r="N29" s="209" t="str">
        <f>IF(OR(M29='Tabla Impacto'!$C$11,M29='Tabla Impacto'!$D$11),"Leve",IF(OR(M29='Tabla Impacto'!$C$12,M29='Tabla Impacto'!$D$12),"Menor",IF(OR(M29='Tabla Impacto'!$C$13,M29='Tabla Impacto'!$D$13),"Moderado",IF(OR(M29='Tabla Impacto'!$C$14,M29='Tabla Impacto'!$D$14),"Mayor",IF(OR(M29='Tabla Impacto'!$C$15,M29='Tabla Impacto'!$D$15),"Catastrófico","")))))</f>
        <v/>
      </c>
      <c r="O29" s="221" t="str">
        <f>IF(N29="","",IF(N29="Leve",0.2,IF(N29="Menor",0.4,IF(N29="Moderado",0.6,IF(N29="Mayor",0.8,IF(N29="Catastrófico",1,))))))</f>
        <v/>
      </c>
      <c r="P29" s="218" t="str">
        <f>IF(OR(AND(J29="Muy Baja",N29="Leve"),AND(J29="Muy Baja",N29="Menor"),AND(J29="Baja",N29="Leve")),"Bajo",IF(OR(AND(J29="Muy baja",N29="Moderado"),AND(J29="Baja",N29="Menor"),AND(J29="Baja",N29="Moderado"),AND(J29="Media",N29="Leve"),AND(J29="Media",N29="Menor"),AND(J29="Media",N29="Moderado"),AND(J29="Alta",N29="Leve"),AND(J29="Alta",N29="Menor")),"Moderado",IF(OR(AND(J29="Muy Baja",N29="Mayor"),AND(J29="Baja",N29="Mayor"),AND(J29="Media",N29="Mayor"),AND(J29="Alta",N29="Moderado"),AND(J29="Alta",N29="Mayor"),AND(J29="Muy Alta",N29="Leve"),AND(J29="Muy Alta",N29="Menor"),AND(J29="Muy Alta",N29="Moderado"),AND(J29="Muy Alta",N29="Mayor")),"Alto",IF(OR(AND(J29="Muy Baja",N29="Catastrófico"),AND(J29="Baja",N29="Catastrófico"),AND(J29="Media",N29="Catastrófico"),AND(J29="Alta",N29="Catastrófico"),AND(J29="Muy Alta",N29="Catastrófico")),"Extremo",""))))</f>
        <v/>
      </c>
      <c r="Q29" s="125">
        <v>1</v>
      </c>
      <c r="R29" s="126"/>
      <c r="S29" s="127" t="str">
        <f>IF(OR(T29="Preventivo",T29="Detectivo"),"Probabilidad",IF(T29="Correctivo","Impacto",""))</f>
        <v/>
      </c>
      <c r="T29" s="128"/>
      <c r="U29" s="128"/>
      <c r="V29" s="129" t="str">
        <f>IF(AND(T29="Preventivo",U29="Automático"),"50%",IF(AND(T29="Preventivo",U29="Manual"),"40%",IF(AND(T29="Detectivo",U29="Automático"),"40%",IF(AND(T29="Detectivo",U29="Manual"),"30%",IF(AND(T29="Correctivo",U29="Automático"),"35%",IF(AND(T29="Correctivo",U29="Manual"),"25%",""))))))</f>
        <v/>
      </c>
      <c r="W29" s="128"/>
      <c r="X29" s="128"/>
      <c r="Y29" s="128"/>
      <c r="Z29" s="130" t="str">
        <f>IFERROR(IF(S29="Probabilidad",(K29-(+K29*V29)),IF(S29="Impacto",K29,"")),"")</f>
        <v/>
      </c>
      <c r="AA29" s="131" t="str">
        <f>IFERROR(IF(Z29="","",IF(Z29&lt;=0.2,"Muy Baja",IF(Z29&lt;=0.4,"Baja",IF(Z29&lt;=0.6,"Media",IF(Z29&lt;=0.8,"Alta","Muy Alta"))))),"")</f>
        <v/>
      </c>
      <c r="AB29" s="132" t="str">
        <f>+Z29</f>
        <v/>
      </c>
      <c r="AC29" s="131" t="str">
        <f>IFERROR(IF(AD29="","",IF(AD29&lt;=0.2,"Leve",IF(AD29&lt;=0.4,"Menor",IF(AD29&lt;=0.6,"Moderado",IF(AD29&lt;=0.8,"Mayor","Catastrófico"))))),"")</f>
        <v/>
      </c>
      <c r="AD29" s="140" t="str">
        <f>IFERROR(IF(S29="Impacto",(O29-(+O29*V29)),IF(S29="Probabilidad",O29,"")),"")</f>
        <v/>
      </c>
      <c r="AE29" s="133" t="str">
        <f>IFERROR(IF(OR(AND(AA29="Muy Baja",AC29="Leve"),AND(AA29="Muy Baja",AC29="Menor"),AND(AA29="Baja",AC29="Leve")),"Bajo",IF(OR(AND(AA29="Muy baja",AC29="Moderado"),AND(AA29="Baja",AC29="Menor"),AND(AA29="Baja",AC29="Moderado"),AND(AA29="Media",AC29="Leve"),AND(AA29="Media",AC29="Menor"),AND(AA29="Media",AC29="Moderado"),AND(AA29="Alta",AC29="Leve"),AND(AA29="Alta",AC29="Menor")),"Moderado",IF(OR(AND(AA29="Muy Baja",AC29="Mayor"),AND(AA29="Baja",AC29="Mayor"),AND(AA29="Media",AC29="Mayor"),AND(AA29="Alta",AC29="Moderado"),AND(AA29="Alta",AC29="Mayor"),AND(AA29="Muy Alta",AC29="Leve"),AND(AA29="Muy Alta",AC29="Menor"),AND(AA29="Muy Alta",AC29="Moderado"),AND(AA29="Muy Alta",AC29="Mayor")),"Alto",IF(OR(AND(AA29="Muy Baja",AC29="Catastrófico"),AND(AA29="Baja",AC29="Catastrófico"),AND(AA29="Media",AC29="Catastrófico"),AND(AA29="Alta",AC29="Catastrófico"),AND(AA29="Muy Alta",AC29="Catastrófico")),"Extremo","")))),"")</f>
        <v/>
      </c>
      <c r="AF29" s="134"/>
      <c r="AG29" s="135"/>
      <c r="AH29" s="136"/>
      <c r="AI29" s="137"/>
      <c r="AJ29" s="137"/>
      <c r="AK29" s="135"/>
      <c r="AL29" s="136"/>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row>
    <row r="30" spans="1:70" ht="151.5" customHeight="1" x14ac:dyDescent="0.25">
      <c r="A30" s="213"/>
      <c r="B30" s="216"/>
      <c r="C30" s="216"/>
      <c r="D30" s="142"/>
      <c r="E30" s="216"/>
      <c r="F30" s="242"/>
      <c r="G30" s="242"/>
      <c r="H30" s="216"/>
      <c r="I30" s="245"/>
      <c r="J30" s="210"/>
      <c r="K30" s="222"/>
      <c r="L30" s="225"/>
      <c r="M30" s="222">
        <f>IF(NOT(ISERROR(MATCH(L30,_xlfn.ANCHORARRAY(G41),0))),K43&amp;"Por favor no seleccionar los criterios de impacto",L30)</f>
        <v>0</v>
      </c>
      <c r="N30" s="210"/>
      <c r="O30" s="222"/>
      <c r="P30" s="219"/>
      <c r="Q30" s="125">
        <v>2</v>
      </c>
      <c r="R30" s="126"/>
      <c r="S30" s="127" t="str">
        <f>IF(OR(T30="Preventivo",T30="Detectivo"),"Probabilidad",IF(T30="Correctivo","Impacto",""))</f>
        <v/>
      </c>
      <c r="T30" s="128"/>
      <c r="U30" s="128"/>
      <c r="V30" s="129" t="str">
        <f t="shared" ref="V30:V34" si="22">IF(AND(T30="Preventivo",U30="Automático"),"50%",IF(AND(T30="Preventivo",U30="Manual"),"40%",IF(AND(T30="Detectivo",U30="Automático"),"40%",IF(AND(T30="Detectivo",U30="Manual"),"30%",IF(AND(T30="Correctivo",U30="Automático"),"35%",IF(AND(T30="Correctivo",U30="Manual"),"25%",""))))))</f>
        <v/>
      </c>
      <c r="W30" s="128"/>
      <c r="X30" s="128"/>
      <c r="Y30" s="128"/>
      <c r="Z30" s="130" t="str">
        <f>IFERROR(IF(AND(S29="Probabilidad",S30="Probabilidad"),(AB29-(+AB29*V30)),IF(S30="Probabilidad",(K29-(+K29*V30)),IF(S30="Impacto",AB29,""))),"")</f>
        <v/>
      </c>
      <c r="AA30" s="131" t="str">
        <f t="shared" si="1"/>
        <v/>
      </c>
      <c r="AB30" s="132" t="str">
        <f t="shared" ref="AB30:AB34" si="23">+Z30</f>
        <v/>
      </c>
      <c r="AC30" s="131" t="str">
        <f t="shared" si="3"/>
        <v/>
      </c>
      <c r="AD30" s="140" t="str">
        <f>IFERROR(IF(AND(S29="Impacto",S30="Impacto"),(AD29-(+AD29*V30)),IF(S30="Impacto",(O29-(+O29*V30)),IF(S30="Probabilidad",AD29,""))),"")</f>
        <v/>
      </c>
      <c r="AE30" s="133" t="str">
        <f t="shared" ref="AE30:AE31" si="24">IFERROR(IF(OR(AND(AA30="Muy Baja",AC30="Leve"),AND(AA30="Muy Baja",AC30="Menor"),AND(AA30="Baja",AC30="Leve")),"Bajo",IF(OR(AND(AA30="Muy baja",AC30="Moderado"),AND(AA30="Baja",AC30="Menor"),AND(AA30="Baja",AC30="Moderado"),AND(AA30="Media",AC30="Leve"),AND(AA30="Media",AC30="Menor"),AND(AA30="Media",AC30="Moderado"),AND(AA30="Alta",AC30="Leve"),AND(AA30="Alta",AC30="Menor")),"Moderado",IF(OR(AND(AA30="Muy Baja",AC30="Mayor"),AND(AA30="Baja",AC30="Mayor"),AND(AA30="Media",AC30="Mayor"),AND(AA30="Alta",AC30="Moderado"),AND(AA30="Alta",AC30="Mayor"),AND(AA30="Muy Alta",AC30="Leve"),AND(AA30="Muy Alta",AC30="Menor"),AND(AA30="Muy Alta",AC30="Moderado"),AND(AA30="Muy Alta",AC30="Mayor")),"Alto",IF(OR(AND(AA30="Muy Baja",AC30="Catastrófico"),AND(AA30="Baja",AC30="Catastrófico"),AND(AA30="Media",AC30="Catastrófico"),AND(AA30="Alta",AC30="Catastrófico"),AND(AA30="Muy Alta",AC30="Catastrófico")),"Extremo","")))),"")</f>
        <v/>
      </c>
      <c r="AF30" s="134"/>
      <c r="AG30" s="135"/>
      <c r="AH30" s="136"/>
      <c r="AI30" s="137"/>
      <c r="AJ30" s="137"/>
      <c r="AK30" s="135"/>
      <c r="AL30" s="136"/>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row>
    <row r="31" spans="1:70" ht="151.5" customHeight="1" x14ac:dyDescent="0.25">
      <c r="A31" s="213"/>
      <c r="B31" s="216"/>
      <c r="C31" s="216"/>
      <c r="D31" s="142"/>
      <c r="E31" s="216"/>
      <c r="F31" s="242"/>
      <c r="G31" s="242"/>
      <c r="H31" s="216"/>
      <c r="I31" s="245"/>
      <c r="J31" s="210"/>
      <c r="K31" s="222"/>
      <c r="L31" s="225"/>
      <c r="M31" s="222">
        <f>IF(NOT(ISERROR(MATCH(L31,_xlfn.ANCHORARRAY(G42),0))),K44&amp;"Por favor no seleccionar los criterios de impacto",L31)</f>
        <v>0</v>
      </c>
      <c r="N31" s="210"/>
      <c r="O31" s="222"/>
      <c r="P31" s="219"/>
      <c r="Q31" s="125">
        <v>3</v>
      </c>
      <c r="R31" s="138"/>
      <c r="S31" s="127" t="str">
        <f>IF(OR(T31="Preventivo",T31="Detectivo"),"Probabilidad",IF(T31="Correctivo","Impacto",""))</f>
        <v/>
      </c>
      <c r="T31" s="128"/>
      <c r="U31" s="128"/>
      <c r="V31" s="129" t="str">
        <f t="shared" si="22"/>
        <v/>
      </c>
      <c r="W31" s="128"/>
      <c r="X31" s="128"/>
      <c r="Y31" s="128"/>
      <c r="Z31" s="130" t="str">
        <f>IFERROR(IF(AND(S30="Probabilidad",S31="Probabilidad"),(AB30-(+AB30*V31)),IF(AND(S30="Impacto",S31="Probabilidad"),(AB29-(+AB29*V31)),IF(S31="Impacto",AB30,""))),"")</f>
        <v/>
      </c>
      <c r="AA31" s="131" t="str">
        <f t="shared" si="1"/>
        <v/>
      </c>
      <c r="AB31" s="132" t="str">
        <f t="shared" si="23"/>
        <v/>
      </c>
      <c r="AC31" s="131" t="str">
        <f t="shared" si="3"/>
        <v/>
      </c>
      <c r="AD31" s="140" t="str">
        <f>IFERROR(IF(AND(S30="Impacto",S31="Impacto"),(AD30-(+AD30*V31)),IF(AND(S30="Probabilidad",S31="Impacto"),(AD29-(+AD29*V31)),IF(S31="Probabilidad",AD30,""))),"")</f>
        <v/>
      </c>
      <c r="AE31" s="133" t="str">
        <f t="shared" si="24"/>
        <v/>
      </c>
      <c r="AF31" s="134"/>
      <c r="AG31" s="135"/>
      <c r="AH31" s="136"/>
      <c r="AI31" s="137"/>
      <c r="AJ31" s="137"/>
      <c r="AK31" s="135"/>
      <c r="AL31" s="136"/>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row>
    <row r="32" spans="1:70" ht="151.5" customHeight="1" x14ac:dyDescent="0.25">
      <c r="A32" s="213"/>
      <c r="B32" s="216"/>
      <c r="C32" s="216"/>
      <c r="D32" s="142"/>
      <c r="E32" s="216"/>
      <c r="F32" s="242"/>
      <c r="G32" s="242"/>
      <c r="H32" s="216"/>
      <c r="I32" s="245"/>
      <c r="J32" s="210"/>
      <c r="K32" s="222"/>
      <c r="L32" s="225"/>
      <c r="M32" s="222">
        <f>IF(NOT(ISERROR(MATCH(L32,_xlfn.ANCHORARRAY(G43),0))),K45&amp;"Por favor no seleccionar los criterios de impacto",L32)</f>
        <v>0</v>
      </c>
      <c r="N32" s="210"/>
      <c r="O32" s="222"/>
      <c r="P32" s="219"/>
      <c r="Q32" s="125">
        <v>4</v>
      </c>
      <c r="R32" s="126"/>
      <c r="S32" s="127" t="str">
        <f t="shared" ref="S32:S34" si="25">IF(OR(T32="Preventivo",T32="Detectivo"),"Probabilidad",IF(T32="Correctivo","Impacto",""))</f>
        <v/>
      </c>
      <c r="T32" s="128"/>
      <c r="U32" s="128"/>
      <c r="V32" s="129" t="str">
        <f t="shared" si="22"/>
        <v/>
      </c>
      <c r="W32" s="128"/>
      <c r="X32" s="128"/>
      <c r="Y32" s="128"/>
      <c r="Z32" s="130" t="str">
        <f t="shared" ref="Z32:Z34" si="26">IFERROR(IF(AND(S31="Probabilidad",S32="Probabilidad"),(AB31-(+AB31*V32)),IF(AND(S31="Impacto",S32="Probabilidad"),(AB30-(+AB30*V32)),IF(S32="Impacto",AB31,""))),"")</f>
        <v/>
      </c>
      <c r="AA32" s="131" t="str">
        <f t="shared" si="1"/>
        <v/>
      </c>
      <c r="AB32" s="132" t="str">
        <f t="shared" si="23"/>
        <v/>
      </c>
      <c r="AC32" s="131" t="str">
        <f t="shared" si="3"/>
        <v/>
      </c>
      <c r="AD32" s="140" t="str">
        <f t="shared" ref="AD32:AD34" si="27">IFERROR(IF(AND(S31="Impacto",S32="Impacto"),(AD31-(+AD31*V32)),IF(AND(S31="Probabilidad",S32="Impacto"),(AD30-(+AD30*V32)),IF(S32="Probabilidad",AD31,""))),"")</f>
        <v/>
      </c>
      <c r="AE32" s="133" t="str">
        <f>IFERROR(IF(OR(AND(AA32="Muy Baja",AC32="Leve"),AND(AA32="Muy Baja",AC32="Menor"),AND(AA32="Baja",AC32="Leve")),"Bajo",IF(OR(AND(AA32="Muy baja",AC32="Moderado"),AND(AA32="Baja",AC32="Menor"),AND(AA32="Baja",AC32="Moderado"),AND(AA32="Media",AC32="Leve"),AND(AA32="Media",AC32="Menor"),AND(AA32="Media",AC32="Moderado"),AND(AA32="Alta",AC32="Leve"),AND(AA32="Alta",AC32="Menor")),"Moderado",IF(OR(AND(AA32="Muy Baja",AC32="Mayor"),AND(AA32="Baja",AC32="Mayor"),AND(AA32="Media",AC32="Mayor"),AND(AA32="Alta",AC32="Moderado"),AND(AA32="Alta",AC32="Mayor"),AND(AA32="Muy Alta",AC32="Leve"),AND(AA32="Muy Alta",AC32="Menor"),AND(AA32="Muy Alta",AC32="Moderado"),AND(AA32="Muy Alta",AC32="Mayor")),"Alto",IF(OR(AND(AA32="Muy Baja",AC32="Catastrófico"),AND(AA32="Baja",AC32="Catastrófico"),AND(AA32="Media",AC32="Catastrófico"),AND(AA32="Alta",AC32="Catastrófico"),AND(AA32="Muy Alta",AC32="Catastrófico")),"Extremo","")))),"")</f>
        <v/>
      </c>
      <c r="AF32" s="134"/>
      <c r="AG32" s="135"/>
      <c r="AH32" s="136"/>
      <c r="AI32" s="137"/>
      <c r="AJ32" s="137"/>
      <c r="AK32" s="135"/>
      <c r="AL32" s="136"/>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row>
    <row r="33" spans="1:70" ht="151.5" customHeight="1" x14ac:dyDescent="0.25">
      <c r="A33" s="213"/>
      <c r="B33" s="216"/>
      <c r="C33" s="216"/>
      <c r="D33" s="142"/>
      <c r="E33" s="216"/>
      <c r="F33" s="242"/>
      <c r="G33" s="242"/>
      <c r="H33" s="216"/>
      <c r="I33" s="245"/>
      <c r="J33" s="210"/>
      <c r="K33" s="222"/>
      <c r="L33" s="225"/>
      <c r="M33" s="222">
        <f>IF(NOT(ISERROR(MATCH(L33,_xlfn.ANCHORARRAY(G44),0))),K46&amp;"Por favor no seleccionar los criterios de impacto",L33)</f>
        <v>0</v>
      </c>
      <c r="N33" s="210"/>
      <c r="O33" s="222"/>
      <c r="P33" s="219"/>
      <c r="Q33" s="125">
        <v>5</v>
      </c>
      <c r="R33" s="126"/>
      <c r="S33" s="127" t="str">
        <f t="shared" si="25"/>
        <v/>
      </c>
      <c r="T33" s="128"/>
      <c r="U33" s="128"/>
      <c r="V33" s="129" t="str">
        <f t="shared" si="22"/>
        <v/>
      </c>
      <c r="W33" s="128"/>
      <c r="X33" s="128"/>
      <c r="Y33" s="128"/>
      <c r="Z33" s="139" t="str">
        <f t="shared" si="26"/>
        <v/>
      </c>
      <c r="AA33" s="131" t="str">
        <f>IFERROR(IF(Z33="","",IF(Z33&lt;=0.2,"Muy Baja",IF(Z33&lt;=0.4,"Baja",IF(Z33&lt;=0.6,"Media",IF(Z33&lt;=0.8,"Alta","Muy Alta"))))),"")</f>
        <v/>
      </c>
      <c r="AB33" s="132" t="str">
        <f t="shared" si="23"/>
        <v/>
      </c>
      <c r="AC33" s="131" t="str">
        <f t="shared" si="3"/>
        <v/>
      </c>
      <c r="AD33" s="140" t="str">
        <f t="shared" si="27"/>
        <v/>
      </c>
      <c r="AE33" s="133" t="str">
        <f t="shared" ref="AE33:AE34" si="28">IFERROR(IF(OR(AND(AA33="Muy Baja",AC33="Leve"),AND(AA33="Muy Baja",AC33="Menor"),AND(AA33="Baja",AC33="Leve")),"Bajo",IF(OR(AND(AA33="Muy baja",AC33="Moderado"),AND(AA33="Baja",AC33="Menor"),AND(AA33="Baja",AC33="Moderado"),AND(AA33="Media",AC33="Leve"),AND(AA33="Media",AC33="Menor"),AND(AA33="Media",AC33="Moderado"),AND(AA33="Alta",AC33="Leve"),AND(AA33="Alta",AC33="Menor")),"Moderado",IF(OR(AND(AA33="Muy Baja",AC33="Mayor"),AND(AA33="Baja",AC33="Mayor"),AND(AA33="Media",AC33="Mayor"),AND(AA33="Alta",AC33="Moderado"),AND(AA33="Alta",AC33="Mayor"),AND(AA33="Muy Alta",AC33="Leve"),AND(AA33="Muy Alta",AC33="Menor"),AND(AA33="Muy Alta",AC33="Moderado"),AND(AA33="Muy Alta",AC33="Mayor")),"Alto",IF(OR(AND(AA33="Muy Baja",AC33="Catastrófico"),AND(AA33="Baja",AC33="Catastrófico"),AND(AA33="Media",AC33="Catastrófico"),AND(AA33="Alta",AC33="Catastrófico"),AND(AA33="Muy Alta",AC33="Catastrófico")),"Extremo","")))),"")</f>
        <v/>
      </c>
      <c r="AF33" s="134"/>
      <c r="AG33" s="135"/>
      <c r="AH33" s="136"/>
      <c r="AI33" s="137"/>
      <c r="AJ33" s="137"/>
      <c r="AK33" s="135"/>
      <c r="AL33" s="136"/>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row>
    <row r="34" spans="1:70" ht="151.5" customHeight="1" x14ac:dyDescent="0.25">
      <c r="A34" s="214"/>
      <c r="B34" s="217"/>
      <c r="C34" s="217"/>
      <c r="D34" s="143"/>
      <c r="E34" s="217"/>
      <c r="F34" s="243"/>
      <c r="G34" s="243"/>
      <c r="H34" s="217"/>
      <c r="I34" s="246"/>
      <c r="J34" s="211"/>
      <c r="K34" s="223"/>
      <c r="L34" s="226"/>
      <c r="M34" s="223">
        <f>IF(NOT(ISERROR(MATCH(L34,_xlfn.ANCHORARRAY(G45),0))),K47&amp;"Por favor no seleccionar los criterios de impacto",L34)</f>
        <v>0</v>
      </c>
      <c r="N34" s="211"/>
      <c r="O34" s="223"/>
      <c r="P34" s="220"/>
      <c r="Q34" s="125">
        <v>6</v>
      </c>
      <c r="R34" s="126"/>
      <c r="S34" s="127" t="str">
        <f t="shared" si="25"/>
        <v/>
      </c>
      <c r="T34" s="128"/>
      <c r="U34" s="128"/>
      <c r="V34" s="129" t="str">
        <f t="shared" si="22"/>
        <v/>
      </c>
      <c r="W34" s="128"/>
      <c r="X34" s="128"/>
      <c r="Y34" s="128"/>
      <c r="Z34" s="130" t="str">
        <f t="shared" si="26"/>
        <v/>
      </c>
      <c r="AA34" s="131" t="str">
        <f t="shared" si="1"/>
        <v/>
      </c>
      <c r="AB34" s="132" t="str">
        <f t="shared" si="23"/>
        <v/>
      </c>
      <c r="AC34" s="131" t="str">
        <f t="shared" si="3"/>
        <v/>
      </c>
      <c r="AD34" s="140" t="str">
        <f t="shared" si="27"/>
        <v/>
      </c>
      <c r="AE34" s="133" t="str">
        <f t="shared" si="28"/>
        <v/>
      </c>
      <c r="AF34" s="134"/>
      <c r="AG34" s="135"/>
      <c r="AH34" s="136"/>
      <c r="AI34" s="137"/>
      <c r="AJ34" s="137"/>
      <c r="AK34" s="135"/>
      <c r="AL34" s="136"/>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row>
    <row r="35" spans="1:70" ht="151.5" customHeight="1" x14ac:dyDescent="0.25">
      <c r="A35" s="212">
        <v>5</v>
      </c>
      <c r="B35" s="215"/>
      <c r="C35" s="215"/>
      <c r="D35" s="141"/>
      <c r="E35" s="215"/>
      <c r="F35" s="241"/>
      <c r="G35" s="241"/>
      <c r="H35" s="215"/>
      <c r="I35" s="244"/>
      <c r="J35" s="209" t="str">
        <f>IF(I35&lt;=0,"",IF(I35&lt;=2,"Muy Baja",IF(I35&lt;=24,"Baja",IF(I35&lt;=500,"Media",IF(I35&lt;=5000,"Alta","Muy Alta")))))</f>
        <v/>
      </c>
      <c r="K35" s="221" t="str">
        <f>IF(J35="","",IF(J35="Muy Baja",0.2,IF(J35="Baja",0.4,IF(J35="Media",0.6,IF(J35="Alta",0.8,IF(J35="Muy Alta",1,))))))</f>
        <v/>
      </c>
      <c r="L35" s="224"/>
      <c r="M35" s="221">
        <f>IF(NOT(ISERROR(MATCH(L35,'Tabla Impacto'!$B$221:$B$223,0))),'Tabla Impacto'!$F$223&amp;"Por favor no seleccionar los criterios de impacto(Afectación Económica o presupuestal y Pérdida Reputacional)",L35)</f>
        <v>0</v>
      </c>
      <c r="N35" s="209" t="str">
        <f>IF(OR(M35='Tabla Impacto'!$C$11,M35='Tabla Impacto'!$D$11),"Leve",IF(OR(M35='Tabla Impacto'!$C$12,M35='Tabla Impacto'!$D$12),"Menor",IF(OR(M35='Tabla Impacto'!$C$13,M35='Tabla Impacto'!$D$13),"Moderado",IF(OR(M35='Tabla Impacto'!$C$14,M35='Tabla Impacto'!$D$14),"Mayor",IF(OR(M35='Tabla Impacto'!$C$15,M35='Tabla Impacto'!$D$15),"Catastrófico","")))))</f>
        <v/>
      </c>
      <c r="O35" s="221" t="str">
        <f>IF(N35="","",IF(N35="Leve",0.2,IF(N35="Menor",0.4,IF(N35="Moderado",0.6,IF(N35="Mayor",0.8,IF(N35="Catastrófico",1,))))))</f>
        <v/>
      </c>
      <c r="P35" s="218" t="str">
        <f>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
      </c>
      <c r="Q35" s="125">
        <v>1</v>
      </c>
      <c r="R35" s="126"/>
      <c r="S35" s="127" t="str">
        <f>IF(OR(T35="Preventivo",T35="Detectivo"),"Probabilidad",IF(T35="Correctivo","Impacto",""))</f>
        <v/>
      </c>
      <c r="T35" s="128"/>
      <c r="U35" s="128"/>
      <c r="V35" s="129" t="str">
        <f>IF(AND(T35="Preventivo",U35="Automático"),"50%",IF(AND(T35="Preventivo",U35="Manual"),"40%",IF(AND(T35="Detectivo",U35="Automático"),"40%",IF(AND(T35="Detectivo",U35="Manual"),"30%",IF(AND(T35="Correctivo",U35="Automático"),"35%",IF(AND(T35="Correctivo",U35="Manual"),"25%",""))))))</f>
        <v/>
      </c>
      <c r="W35" s="128"/>
      <c r="X35" s="128"/>
      <c r="Y35" s="128"/>
      <c r="Z35" s="130" t="str">
        <f>IFERROR(IF(S35="Probabilidad",(K35-(+K35*V35)),IF(S35="Impacto",K35,"")),"")</f>
        <v/>
      </c>
      <c r="AA35" s="131" t="str">
        <f>IFERROR(IF(Z35="","",IF(Z35&lt;=0.2,"Muy Baja",IF(Z35&lt;=0.4,"Baja",IF(Z35&lt;=0.6,"Media",IF(Z35&lt;=0.8,"Alta","Muy Alta"))))),"")</f>
        <v/>
      </c>
      <c r="AB35" s="132" t="str">
        <f>+Z35</f>
        <v/>
      </c>
      <c r="AC35" s="131" t="str">
        <f>IFERROR(IF(AD35="","",IF(AD35&lt;=0.2,"Leve",IF(AD35&lt;=0.4,"Menor",IF(AD35&lt;=0.6,"Moderado",IF(AD35&lt;=0.8,"Mayor","Catastrófico"))))),"")</f>
        <v/>
      </c>
      <c r="AD35" s="140" t="str">
        <f>IFERROR(IF(S35="Impacto",(O35-(+O35*V35)),IF(S35="Probabilidad",O35,"")),"")</f>
        <v/>
      </c>
      <c r="AE35" s="133" t="str">
        <f>IFERROR(IF(OR(AND(AA35="Muy Baja",AC35="Leve"),AND(AA35="Muy Baja",AC35="Menor"),AND(AA35="Baja",AC35="Leve")),"Bajo",IF(OR(AND(AA35="Muy baja",AC35="Moderado"),AND(AA35="Baja",AC35="Menor"),AND(AA35="Baja",AC35="Moderado"),AND(AA35="Media",AC35="Leve"),AND(AA35="Media",AC35="Menor"),AND(AA35="Media",AC35="Moderado"),AND(AA35="Alta",AC35="Leve"),AND(AA35="Alta",AC35="Menor")),"Moderado",IF(OR(AND(AA35="Muy Baja",AC35="Mayor"),AND(AA35="Baja",AC35="Mayor"),AND(AA35="Media",AC35="Mayor"),AND(AA35="Alta",AC35="Moderado"),AND(AA35="Alta",AC35="Mayor"),AND(AA35="Muy Alta",AC35="Leve"),AND(AA35="Muy Alta",AC35="Menor"),AND(AA35="Muy Alta",AC35="Moderado"),AND(AA35="Muy Alta",AC35="Mayor")),"Alto",IF(OR(AND(AA35="Muy Baja",AC35="Catastrófico"),AND(AA35="Baja",AC35="Catastrófico"),AND(AA35="Media",AC35="Catastrófico"),AND(AA35="Alta",AC35="Catastrófico"),AND(AA35="Muy Alta",AC35="Catastrófico")),"Extremo","")))),"")</f>
        <v/>
      </c>
      <c r="AF35" s="134"/>
      <c r="AG35" s="135"/>
      <c r="AH35" s="136"/>
      <c r="AI35" s="137"/>
      <c r="AJ35" s="137"/>
      <c r="AK35" s="135"/>
      <c r="AL35" s="136"/>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row>
    <row r="36" spans="1:70" ht="151.5" customHeight="1" x14ac:dyDescent="0.25">
      <c r="A36" s="213"/>
      <c r="B36" s="216"/>
      <c r="C36" s="216"/>
      <c r="D36" s="142"/>
      <c r="E36" s="216"/>
      <c r="F36" s="242"/>
      <c r="G36" s="242"/>
      <c r="H36" s="216"/>
      <c r="I36" s="245"/>
      <c r="J36" s="210"/>
      <c r="K36" s="222"/>
      <c r="L36" s="225"/>
      <c r="M36" s="222">
        <f>IF(NOT(ISERROR(MATCH(L36,_xlfn.ANCHORARRAY(G47),0))),K49&amp;"Por favor no seleccionar los criterios de impacto",L36)</f>
        <v>0</v>
      </c>
      <c r="N36" s="210"/>
      <c r="O36" s="222"/>
      <c r="P36" s="219"/>
      <c r="Q36" s="125">
        <v>2</v>
      </c>
      <c r="R36" s="126"/>
      <c r="S36" s="127" t="str">
        <f>IF(OR(T36="Preventivo",T36="Detectivo"),"Probabilidad",IF(T36="Correctivo","Impacto",""))</f>
        <v/>
      </c>
      <c r="T36" s="128"/>
      <c r="U36" s="128"/>
      <c r="V36" s="129" t="str">
        <f t="shared" ref="V36:V40" si="29">IF(AND(T36="Preventivo",U36="Automático"),"50%",IF(AND(T36="Preventivo",U36="Manual"),"40%",IF(AND(T36="Detectivo",U36="Automático"),"40%",IF(AND(T36="Detectivo",U36="Manual"),"30%",IF(AND(T36="Correctivo",U36="Automático"),"35%",IF(AND(T36="Correctivo",U36="Manual"),"25%",""))))))</f>
        <v/>
      </c>
      <c r="W36" s="128"/>
      <c r="X36" s="128"/>
      <c r="Y36" s="128"/>
      <c r="Z36" s="130" t="str">
        <f>IFERROR(IF(AND(S35="Probabilidad",S36="Probabilidad"),(AB35-(+AB35*V36)),IF(S36="Probabilidad",(K35-(+K35*V36)),IF(S36="Impacto",AB35,""))),"")</f>
        <v/>
      </c>
      <c r="AA36" s="131" t="str">
        <f t="shared" si="1"/>
        <v/>
      </c>
      <c r="AB36" s="132" t="str">
        <f t="shared" ref="AB36:AB40" si="30">+Z36</f>
        <v/>
      </c>
      <c r="AC36" s="131" t="str">
        <f t="shared" si="3"/>
        <v/>
      </c>
      <c r="AD36" s="140" t="str">
        <f>IFERROR(IF(AND(S35="Impacto",S36="Impacto"),(AD35-(+AD35*V36)),IF(S36="Impacto",(O35-(+O35*V36)),IF(S36="Probabilidad",AD35,""))),"")</f>
        <v/>
      </c>
      <c r="AE36" s="133" t="str">
        <f t="shared" ref="AE36:AE37" si="31">IFERROR(IF(OR(AND(AA36="Muy Baja",AC36="Leve"),AND(AA36="Muy Baja",AC36="Menor"),AND(AA36="Baja",AC36="Leve")),"Bajo",IF(OR(AND(AA36="Muy baja",AC36="Moderado"),AND(AA36="Baja",AC36="Menor"),AND(AA36="Baja",AC36="Moderado"),AND(AA36="Media",AC36="Leve"),AND(AA36="Media",AC36="Menor"),AND(AA36="Media",AC36="Moderado"),AND(AA36="Alta",AC36="Leve"),AND(AA36="Alta",AC36="Menor")),"Moderado",IF(OR(AND(AA36="Muy Baja",AC36="Mayor"),AND(AA36="Baja",AC36="Mayor"),AND(AA36="Media",AC36="Mayor"),AND(AA36="Alta",AC36="Moderado"),AND(AA36="Alta",AC36="Mayor"),AND(AA36="Muy Alta",AC36="Leve"),AND(AA36="Muy Alta",AC36="Menor"),AND(AA36="Muy Alta",AC36="Moderado"),AND(AA36="Muy Alta",AC36="Mayor")),"Alto",IF(OR(AND(AA36="Muy Baja",AC36="Catastrófico"),AND(AA36="Baja",AC36="Catastrófico"),AND(AA36="Media",AC36="Catastrófico"),AND(AA36="Alta",AC36="Catastrófico"),AND(AA36="Muy Alta",AC36="Catastrófico")),"Extremo","")))),"")</f>
        <v/>
      </c>
      <c r="AF36" s="134"/>
      <c r="AG36" s="135"/>
      <c r="AH36" s="136"/>
      <c r="AI36" s="137"/>
      <c r="AJ36" s="137"/>
      <c r="AK36" s="135"/>
      <c r="AL36" s="136"/>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row>
    <row r="37" spans="1:70" ht="151.5" customHeight="1" x14ac:dyDescent="0.25">
      <c r="A37" s="213"/>
      <c r="B37" s="216"/>
      <c r="C37" s="216"/>
      <c r="D37" s="142"/>
      <c r="E37" s="216"/>
      <c r="F37" s="242"/>
      <c r="G37" s="242"/>
      <c r="H37" s="216"/>
      <c r="I37" s="245"/>
      <c r="J37" s="210"/>
      <c r="K37" s="222"/>
      <c r="L37" s="225"/>
      <c r="M37" s="222">
        <f>IF(NOT(ISERROR(MATCH(L37,_xlfn.ANCHORARRAY(G48),0))),K50&amp;"Por favor no seleccionar los criterios de impacto",L37)</f>
        <v>0</v>
      </c>
      <c r="N37" s="210"/>
      <c r="O37" s="222"/>
      <c r="P37" s="219"/>
      <c r="Q37" s="125">
        <v>3</v>
      </c>
      <c r="R37" s="138"/>
      <c r="S37" s="127" t="str">
        <f>IF(OR(T37="Preventivo",T37="Detectivo"),"Probabilidad",IF(T37="Correctivo","Impacto",""))</f>
        <v/>
      </c>
      <c r="T37" s="128"/>
      <c r="U37" s="128"/>
      <c r="V37" s="129" t="str">
        <f t="shared" si="29"/>
        <v/>
      </c>
      <c r="W37" s="128"/>
      <c r="X37" s="128"/>
      <c r="Y37" s="128"/>
      <c r="Z37" s="130" t="str">
        <f>IFERROR(IF(AND(S36="Probabilidad",S37="Probabilidad"),(AB36-(+AB36*V37)),IF(AND(S36="Impacto",S37="Probabilidad"),(AB35-(+AB35*V37)),IF(S37="Impacto",AB36,""))),"")</f>
        <v/>
      </c>
      <c r="AA37" s="131" t="str">
        <f t="shared" si="1"/>
        <v/>
      </c>
      <c r="AB37" s="132" t="str">
        <f t="shared" si="30"/>
        <v/>
      </c>
      <c r="AC37" s="131" t="str">
        <f t="shared" si="3"/>
        <v/>
      </c>
      <c r="AD37" s="140" t="str">
        <f>IFERROR(IF(AND(S36="Impacto",S37="Impacto"),(AD36-(+AD36*V37)),IF(AND(S36="Probabilidad",S37="Impacto"),(AD35-(+AD35*V37)),IF(S37="Probabilidad",AD36,""))),"")</f>
        <v/>
      </c>
      <c r="AE37" s="133" t="str">
        <f t="shared" si="31"/>
        <v/>
      </c>
      <c r="AF37" s="134"/>
      <c r="AG37" s="135"/>
      <c r="AH37" s="136"/>
      <c r="AI37" s="137"/>
      <c r="AJ37" s="137"/>
      <c r="AK37" s="135"/>
      <c r="AL37" s="136"/>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row>
    <row r="38" spans="1:70" ht="151.5" customHeight="1" x14ac:dyDescent="0.25">
      <c r="A38" s="213"/>
      <c r="B38" s="216"/>
      <c r="C38" s="216"/>
      <c r="D38" s="142"/>
      <c r="E38" s="216"/>
      <c r="F38" s="242"/>
      <c r="G38" s="242"/>
      <c r="H38" s="216"/>
      <c r="I38" s="245"/>
      <c r="J38" s="210"/>
      <c r="K38" s="222"/>
      <c r="L38" s="225"/>
      <c r="M38" s="222">
        <f>IF(NOT(ISERROR(MATCH(L38,_xlfn.ANCHORARRAY(G49),0))),K51&amp;"Por favor no seleccionar los criterios de impacto",L38)</f>
        <v>0</v>
      </c>
      <c r="N38" s="210"/>
      <c r="O38" s="222"/>
      <c r="P38" s="219"/>
      <c r="Q38" s="125">
        <v>4</v>
      </c>
      <c r="R38" s="126"/>
      <c r="S38" s="127" t="str">
        <f t="shared" ref="S38:S40" si="32">IF(OR(T38="Preventivo",T38="Detectivo"),"Probabilidad",IF(T38="Correctivo","Impacto",""))</f>
        <v/>
      </c>
      <c r="T38" s="128"/>
      <c r="U38" s="128"/>
      <c r="V38" s="129" t="str">
        <f t="shared" si="29"/>
        <v/>
      </c>
      <c r="W38" s="128"/>
      <c r="X38" s="128"/>
      <c r="Y38" s="128"/>
      <c r="Z38" s="130" t="str">
        <f t="shared" ref="Z38:Z40" si="33">IFERROR(IF(AND(S37="Probabilidad",S38="Probabilidad"),(AB37-(+AB37*V38)),IF(AND(S37="Impacto",S38="Probabilidad"),(AB36-(+AB36*V38)),IF(S38="Impacto",AB37,""))),"")</f>
        <v/>
      </c>
      <c r="AA38" s="131" t="str">
        <f t="shared" si="1"/>
        <v/>
      </c>
      <c r="AB38" s="132" t="str">
        <f t="shared" si="30"/>
        <v/>
      </c>
      <c r="AC38" s="131" t="str">
        <f t="shared" si="3"/>
        <v/>
      </c>
      <c r="AD38" s="140" t="str">
        <f t="shared" ref="AD38:AD40" si="34">IFERROR(IF(AND(S37="Impacto",S38="Impacto"),(AD37-(+AD37*V38)),IF(AND(S37="Probabilidad",S38="Impacto"),(AD36-(+AD36*V38)),IF(S38="Probabilidad",AD37,""))),"")</f>
        <v/>
      </c>
      <c r="AE38" s="133" t="str">
        <f>IFERROR(IF(OR(AND(AA38="Muy Baja",AC38="Leve"),AND(AA38="Muy Baja",AC38="Menor"),AND(AA38="Baja",AC38="Leve")),"Bajo",IF(OR(AND(AA38="Muy baja",AC38="Moderado"),AND(AA38="Baja",AC38="Menor"),AND(AA38="Baja",AC38="Moderado"),AND(AA38="Media",AC38="Leve"),AND(AA38="Media",AC38="Menor"),AND(AA38="Media",AC38="Moderado"),AND(AA38="Alta",AC38="Leve"),AND(AA38="Alta",AC38="Menor")),"Moderado",IF(OR(AND(AA38="Muy Baja",AC38="Mayor"),AND(AA38="Baja",AC38="Mayor"),AND(AA38="Media",AC38="Mayor"),AND(AA38="Alta",AC38="Moderado"),AND(AA38="Alta",AC38="Mayor"),AND(AA38="Muy Alta",AC38="Leve"),AND(AA38="Muy Alta",AC38="Menor"),AND(AA38="Muy Alta",AC38="Moderado"),AND(AA38="Muy Alta",AC38="Mayor")),"Alto",IF(OR(AND(AA38="Muy Baja",AC38="Catastrófico"),AND(AA38="Baja",AC38="Catastrófico"),AND(AA38="Media",AC38="Catastrófico"),AND(AA38="Alta",AC38="Catastrófico"),AND(AA38="Muy Alta",AC38="Catastrófico")),"Extremo","")))),"")</f>
        <v/>
      </c>
      <c r="AF38" s="134"/>
      <c r="AG38" s="135"/>
      <c r="AH38" s="136"/>
      <c r="AI38" s="137"/>
      <c r="AJ38" s="137"/>
      <c r="AK38" s="135"/>
      <c r="AL38" s="136"/>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row>
    <row r="39" spans="1:70" ht="151.5" customHeight="1" x14ac:dyDescent="0.25">
      <c r="A39" s="213"/>
      <c r="B39" s="216"/>
      <c r="C39" s="216"/>
      <c r="D39" s="142"/>
      <c r="E39" s="216"/>
      <c r="F39" s="242"/>
      <c r="G39" s="242"/>
      <c r="H39" s="216"/>
      <c r="I39" s="245"/>
      <c r="J39" s="210"/>
      <c r="K39" s="222"/>
      <c r="L39" s="225"/>
      <c r="M39" s="222">
        <f>IF(NOT(ISERROR(MATCH(L39,_xlfn.ANCHORARRAY(G50),0))),K52&amp;"Por favor no seleccionar los criterios de impacto",L39)</f>
        <v>0</v>
      </c>
      <c r="N39" s="210"/>
      <c r="O39" s="222"/>
      <c r="P39" s="219"/>
      <c r="Q39" s="125">
        <v>5</v>
      </c>
      <c r="R39" s="126"/>
      <c r="S39" s="127" t="str">
        <f t="shared" si="32"/>
        <v/>
      </c>
      <c r="T39" s="128"/>
      <c r="U39" s="128"/>
      <c r="V39" s="129" t="str">
        <f t="shared" si="29"/>
        <v/>
      </c>
      <c r="W39" s="128"/>
      <c r="X39" s="128"/>
      <c r="Y39" s="128"/>
      <c r="Z39" s="130" t="str">
        <f t="shared" si="33"/>
        <v/>
      </c>
      <c r="AA39" s="131" t="str">
        <f t="shared" si="1"/>
        <v/>
      </c>
      <c r="AB39" s="132" t="str">
        <f t="shared" si="30"/>
        <v/>
      </c>
      <c r="AC39" s="131" t="str">
        <f t="shared" si="3"/>
        <v/>
      </c>
      <c r="AD39" s="140" t="str">
        <f t="shared" si="34"/>
        <v/>
      </c>
      <c r="AE39" s="133" t="str">
        <f t="shared" ref="AE39:AE40" si="35">IFERROR(IF(OR(AND(AA39="Muy Baja",AC39="Leve"),AND(AA39="Muy Baja",AC39="Menor"),AND(AA39="Baja",AC39="Leve")),"Bajo",IF(OR(AND(AA39="Muy baja",AC39="Moderado"),AND(AA39="Baja",AC39="Menor"),AND(AA39="Baja",AC39="Moderado"),AND(AA39="Media",AC39="Leve"),AND(AA39="Media",AC39="Menor"),AND(AA39="Media",AC39="Moderado"),AND(AA39="Alta",AC39="Leve"),AND(AA39="Alta",AC39="Menor")),"Moderado",IF(OR(AND(AA39="Muy Baja",AC39="Mayor"),AND(AA39="Baja",AC39="Mayor"),AND(AA39="Media",AC39="Mayor"),AND(AA39="Alta",AC39="Moderado"),AND(AA39="Alta",AC39="Mayor"),AND(AA39="Muy Alta",AC39="Leve"),AND(AA39="Muy Alta",AC39="Menor"),AND(AA39="Muy Alta",AC39="Moderado"),AND(AA39="Muy Alta",AC39="Mayor")),"Alto",IF(OR(AND(AA39="Muy Baja",AC39="Catastrófico"),AND(AA39="Baja",AC39="Catastrófico"),AND(AA39="Media",AC39="Catastrófico"),AND(AA39="Alta",AC39="Catastrófico"),AND(AA39="Muy Alta",AC39="Catastrófico")),"Extremo","")))),"")</f>
        <v/>
      </c>
      <c r="AF39" s="134"/>
      <c r="AG39" s="135"/>
      <c r="AH39" s="136"/>
      <c r="AI39" s="137"/>
      <c r="AJ39" s="137"/>
      <c r="AK39" s="135"/>
      <c r="AL39" s="136"/>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row>
    <row r="40" spans="1:70" ht="151.5" customHeight="1" x14ac:dyDescent="0.25">
      <c r="A40" s="214"/>
      <c r="B40" s="217"/>
      <c r="C40" s="217"/>
      <c r="D40" s="143"/>
      <c r="E40" s="217"/>
      <c r="F40" s="243"/>
      <c r="G40" s="243"/>
      <c r="H40" s="217"/>
      <c r="I40" s="246"/>
      <c r="J40" s="211"/>
      <c r="K40" s="223"/>
      <c r="L40" s="226"/>
      <c r="M40" s="223">
        <f>IF(NOT(ISERROR(MATCH(L40,_xlfn.ANCHORARRAY(G51),0))),K53&amp;"Por favor no seleccionar los criterios de impacto",L40)</f>
        <v>0</v>
      </c>
      <c r="N40" s="211"/>
      <c r="O40" s="223"/>
      <c r="P40" s="220"/>
      <c r="Q40" s="125">
        <v>6</v>
      </c>
      <c r="R40" s="126"/>
      <c r="S40" s="127" t="str">
        <f t="shared" si="32"/>
        <v/>
      </c>
      <c r="T40" s="128"/>
      <c r="U40" s="128"/>
      <c r="V40" s="129" t="str">
        <f t="shared" si="29"/>
        <v/>
      </c>
      <c r="W40" s="128"/>
      <c r="X40" s="128"/>
      <c r="Y40" s="128"/>
      <c r="Z40" s="130" t="str">
        <f t="shared" si="33"/>
        <v/>
      </c>
      <c r="AA40" s="131" t="str">
        <f t="shared" si="1"/>
        <v/>
      </c>
      <c r="AB40" s="132" t="str">
        <f t="shared" si="30"/>
        <v/>
      </c>
      <c r="AC40" s="131" t="str">
        <f t="shared" si="3"/>
        <v/>
      </c>
      <c r="AD40" s="140" t="str">
        <f t="shared" si="34"/>
        <v/>
      </c>
      <c r="AE40" s="133" t="str">
        <f t="shared" si="35"/>
        <v/>
      </c>
      <c r="AF40" s="134"/>
      <c r="AG40" s="135"/>
      <c r="AH40" s="136"/>
      <c r="AI40" s="137"/>
      <c r="AJ40" s="137"/>
      <c r="AK40" s="135"/>
      <c r="AL40" s="136"/>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row>
    <row r="41" spans="1:70" ht="151.5" customHeight="1" x14ac:dyDescent="0.25">
      <c r="A41" s="212">
        <v>6</v>
      </c>
      <c r="B41" s="215"/>
      <c r="C41" s="215"/>
      <c r="D41" s="141"/>
      <c r="E41" s="215"/>
      <c r="F41" s="241"/>
      <c r="G41" s="241"/>
      <c r="H41" s="215"/>
      <c r="I41" s="244"/>
      <c r="J41" s="209" t="str">
        <f>IF(I41&lt;=0,"",IF(I41&lt;=2,"Muy Baja",IF(I41&lt;=24,"Baja",IF(I41&lt;=500,"Media",IF(I41&lt;=5000,"Alta","Muy Alta")))))</f>
        <v/>
      </c>
      <c r="K41" s="221" t="str">
        <f>IF(J41="","",IF(J41="Muy Baja",0.2,IF(J41="Baja",0.4,IF(J41="Media",0.6,IF(J41="Alta",0.8,IF(J41="Muy Alta",1,))))))</f>
        <v/>
      </c>
      <c r="L41" s="224"/>
      <c r="M41" s="221">
        <f>IF(NOT(ISERROR(MATCH(L41,'Tabla Impacto'!$B$221:$B$223,0))),'Tabla Impacto'!$F$223&amp;"Por favor no seleccionar los criterios de impacto(Afectación Económica o presupuestal y Pérdida Reputacional)",L41)</f>
        <v>0</v>
      </c>
      <c r="N41" s="209" t="str">
        <f>IF(OR(M41='Tabla Impacto'!$C$11,M41='Tabla Impacto'!$D$11),"Leve",IF(OR(M41='Tabla Impacto'!$C$12,M41='Tabla Impacto'!$D$12),"Menor",IF(OR(M41='Tabla Impacto'!$C$13,M41='Tabla Impacto'!$D$13),"Moderado",IF(OR(M41='Tabla Impacto'!$C$14,M41='Tabla Impacto'!$D$14),"Mayor",IF(OR(M41='Tabla Impacto'!$C$15,M41='Tabla Impacto'!$D$15),"Catastrófico","")))))</f>
        <v/>
      </c>
      <c r="O41" s="221" t="str">
        <f>IF(N41="","",IF(N41="Leve",0.2,IF(N41="Menor",0.4,IF(N41="Moderado",0.6,IF(N41="Mayor",0.8,IF(N41="Catastrófico",1,))))))</f>
        <v/>
      </c>
      <c r="P41" s="218" t="str">
        <f>IF(OR(AND(J41="Muy Baja",N41="Leve"),AND(J41="Muy Baja",N41="Menor"),AND(J41="Baja",N41="Leve")),"Bajo",IF(OR(AND(J41="Muy baja",N41="Moderado"),AND(J41="Baja",N41="Menor"),AND(J41="Baja",N41="Moderado"),AND(J41="Media",N41="Leve"),AND(J41="Media",N41="Menor"),AND(J41="Media",N41="Moderado"),AND(J41="Alta",N41="Leve"),AND(J41="Alta",N41="Menor")),"Moderado",IF(OR(AND(J41="Muy Baja",N41="Mayor"),AND(J41="Baja",N41="Mayor"),AND(J41="Media",N41="Mayor"),AND(J41="Alta",N41="Moderado"),AND(J41="Alta",N41="Mayor"),AND(J41="Muy Alta",N41="Leve"),AND(J41="Muy Alta",N41="Menor"),AND(J41="Muy Alta",N41="Moderado"),AND(J41="Muy Alta",N41="Mayor")),"Alto",IF(OR(AND(J41="Muy Baja",N41="Catastrófico"),AND(J41="Baja",N41="Catastrófico"),AND(J41="Media",N41="Catastrófico"),AND(J41="Alta",N41="Catastrófico"),AND(J41="Muy Alta",N41="Catastrófico")),"Extremo",""))))</f>
        <v/>
      </c>
      <c r="Q41" s="125">
        <v>1</v>
      </c>
      <c r="R41" s="126"/>
      <c r="S41" s="127" t="str">
        <f>IF(OR(T41="Preventivo",T41="Detectivo"),"Probabilidad",IF(T41="Correctivo","Impacto",""))</f>
        <v/>
      </c>
      <c r="T41" s="128"/>
      <c r="U41" s="128"/>
      <c r="V41" s="129" t="str">
        <f>IF(AND(T41="Preventivo",U41="Automático"),"50%",IF(AND(T41="Preventivo",U41="Manual"),"40%",IF(AND(T41="Detectivo",U41="Automático"),"40%",IF(AND(T41="Detectivo",U41="Manual"),"30%",IF(AND(T41="Correctivo",U41="Automático"),"35%",IF(AND(T41="Correctivo",U41="Manual"),"25%",""))))))</f>
        <v/>
      </c>
      <c r="W41" s="128"/>
      <c r="X41" s="128"/>
      <c r="Y41" s="128"/>
      <c r="Z41" s="130" t="str">
        <f>IFERROR(IF(S41="Probabilidad",(K41-(+K41*V41)),IF(S41="Impacto",K41,"")),"")</f>
        <v/>
      </c>
      <c r="AA41" s="131" t="str">
        <f>IFERROR(IF(Z41="","",IF(Z41&lt;=0.2,"Muy Baja",IF(Z41&lt;=0.4,"Baja",IF(Z41&lt;=0.6,"Media",IF(Z41&lt;=0.8,"Alta","Muy Alta"))))),"")</f>
        <v/>
      </c>
      <c r="AB41" s="132" t="str">
        <f>+Z41</f>
        <v/>
      </c>
      <c r="AC41" s="131" t="str">
        <f>IFERROR(IF(AD41="","",IF(AD41&lt;=0.2,"Leve",IF(AD41&lt;=0.4,"Menor",IF(AD41&lt;=0.6,"Moderado",IF(AD41&lt;=0.8,"Mayor","Catastrófico"))))),"")</f>
        <v/>
      </c>
      <c r="AD41" s="140" t="str">
        <f>IFERROR(IF(S41="Impacto",(O41-(+O41*V41)),IF(S41="Probabilidad",O41,"")),"")</f>
        <v/>
      </c>
      <c r="AE41" s="133" t="str">
        <f>IFERROR(IF(OR(AND(AA41="Muy Baja",AC41="Leve"),AND(AA41="Muy Baja",AC41="Menor"),AND(AA41="Baja",AC41="Leve")),"Bajo",IF(OR(AND(AA41="Muy baja",AC41="Moderado"),AND(AA41="Baja",AC41="Menor"),AND(AA41="Baja",AC41="Moderado"),AND(AA41="Media",AC41="Leve"),AND(AA41="Media",AC41="Menor"),AND(AA41="Media",AC41="Moderado"),AND(AA41="Alta",AC41="Leve"),AND(AA41="Alta",AC41="Menor")),"Moderado",IF(OR(AND(AA41="Muy Baja",AC41="Mayor"),AND(AA41="Baja",AC41="Mayor"),AND(AA41="Media",AC41="Mayor"),AND(AA41="Alta",AC41="Moderado"),AND(AA41="Alta",AC41="Mayor"),AND(AA41="Muy Alta",AC41="Leve"),AND(AA41="Muy Alta",AC41="Menor"),AND(AA41="Muy Alta",AC41="Moderado"),AND(AA41="Muy Alta",AC41="Mayor")),"Alto",IF(OR(AND(AA41="Muy Baja",AC41="Catastrófico"),AND(AA41="Baja",AC41="Catastrófico"),AND(AA41="Media",AC41="Catastrófico"),AND(AA41="Alta",AC41="Catastrófico"),AND(AA41="Muy Alta",AC41="Catastrófico")),"Extremo","")))),"")</f>
        <v/>
      </c>
      <c r="AF41" s="134"/>
      <c r="AG41" s="135"/>
      <c r="AH41" s="136"/>
      <c r="AI41" s="137"/>
      <c r="AJ41" s="137"/>
      <c r="AK41" s="135"/>
      <c r="AL41" s="136"/>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row>
    <row r="42" spans="1:70" ht="151.5" customHeight="1" x14ac:dyDescent="0.25">
      <c r="A42" s="213"/>
      <c r="B42" s="216"/>
      <c r="C42" s="216"/>
      <c r="D42" s="142"/>
      <c r="E42" s="216"/>
      <c r="F42" s="242"/>
      <c r="G42" s="242"/>
      <c r="H42" s="216"/>
      <c r="I42" s="245"/>
      <c r="J42" s="210"/>
      <c r="K42" s="222"/>
      <c r="L42" s="225"/>
      <c r="M42" s="222">
        <f>IF(NOT(ISERROR(MATCH(L42,_xlfn.ANCHORARRAY(G53),0))),K55&amp;"Por favor no seleccionar los criterios de impacto",L42)</f>
        <v>0</v>
      </c>
      <c r="N42" s="210"/>
      <c r="O42" s="222"/>
      <c r="P42" s="219"/>
      <c r="Q42" s="125">
        <v>2</v>
      </c>
      <c r="R42" s="126"/>
      <c r="S42" s="127" t="str">
        <f>IF(OR(T42="Preventivo",T42="Detectivo"),"Probabilidad",IF(T42="Correctivo","Impacto",""))</f>
        <v/>
      </c>
      <c r="T42" s="128"/>
      <c r="U42" s="128"/>
      <c r="V42" s="129" t="str">
        <f t="shared" ref="V42:V46" si="36">IF(AND(T42="Preventivo",U42="Automático"),"50%",IF(AND(T42="Preventivo",U42="Manual"),"40%",IF(AND(T42="Detectivo",U42="Automático"),"40%",IF(AND(T42="Detectivo",U42="Manual"),"30%",IF(AND(T42="Correctivo",U42="Automático"),"35%",IF(AND(T42="Correctivo",U42="Manual"),"25%",""))))))</f>
        <v/>
      </c>
      <c r="W42" s="128"/>
      <c r="X42" s="128"/>
      <c r="Y42" s="128"/>
      <c r="Z42" s="130" t="str">
        <f>IFERROR(IF(AND(S41="Probabilidad",S42="Probabilidad"),(AB41-(+AB41*V42)),IF(S42="Probabilidad",(K41-(+K41*V42)),IF(S42="Impacto",AB41,""))),"")</f>
        <v/>
      </c>
      <c r="AA42" s="131" t="str">
        <f t="shared" si="1"/>
        <v/>
      </c>
      <c r="AB42" s="132" t="str">
        <f t="shared" ref="AB42:AB46" si="37">+Z42</f>
        <v/>
      </c>
      <c r="AC42" s="131" t="str">
        <f t="shared" si="3"/>
        <v/>
      </c>
      <c r="AD42" s="140" t="str">
        <f>IFERROR(IF(AND(S41="Impacto",S42="Impacto"),(AD41-(+AD41*V42)),IF(S42="Impacto",(O41-(+O41*V42)),IF(S42="Probabilidad",AD41,""))),"")</f>
        <v/>
      </c>
      <c r="AE42" s="133" t="str">
        <f t="shared" ref="AE42:AE43" si="38">IFERROR(IF(OR(AND(AA42="Muy Baja",AC42="Leve"),AND(AA42="Muy Baja",AC42="Menor"),AND(AA42="Baja",AC42="Leve")),"Bajo",IF(OR(AND(AA42="Muy baja",AC42="Moderado"),AND(AA42="Baja",AC42="Menor"),AND(AA42="Baja",AC42="Moderado"),AND(AA42="Media",AC42="Leve"),AND(AA42="Media",AC42="Menor"),AND(AA42="Media",AC42="Moderado"),AND(AA42="Alta",AC42="Leve"),AND(AA42="Alta",AC42="Menor")),"Moderado",IF(OR(AND(AA42="Muy Baja",AC42="Mayor"),AND(AA42="Baja",AC42="Mayor"),AND(AA42="Media",AC42="Mayor"),AND(AA42="Alta",AC42="Moderado"),AND(AA42="Alta",AC42="Mayor"),AND(AA42="Muy Alta",AC42="Leve"),AND(AA42="Muy Alta",AC42="Menor"),AND(AA42="Muy Alta",AC42="Moderado"),AND(AA42="Muy Alta",AC42="Mayor")),"Alto",IF(OR(AND(AA42="Muy Baja",AC42="Catastrófico"),AND(AA42="Baja",AC42="Catastrófico"),AND(AA42="Media",AC42="Catastrófico"),AND(AA42="Alta",AC42="Catastrófico"),AND(AA42="Muy Alta",AC42="Catastrófico")),"Extremo","")))),"")</f>
        <v/>
      </c>
      <c r="AF42" s="134"/>
      <c r="AG42" s="135"/>
      <c r="AH42" s="136"/>
      <c r="AI42" s="137"/>
      <c r="AJ42" s="137"/>
      <c r="AK42" s="135"/>
      <c r="AL42" s="136"/>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row>
    <row r="43" spans="1:70" ht="151.5" customHeight="1" x14ac:dyDescent="0.25">
      <c r="A43" s="213"/>
      <c r="B43" s="216"/>
      <c r="C43" s="216"/>
      <c r="D43" s="142"/>
      <c r="E43" s="216"/>
      <c r="F43" s="242"/>
      <c r="G43" s="242"/>
      <c r="H43" s="216"/>
      <c r="I43" s="245"/>
      <c r="J43" s="210"/>
      <c r="K43" s="222"/>
      <c r="L43" s="225"/>
      <c r="M43" s="222">
        <f>IF(NOT(ISERROR(MATCH(L43,_xlfn.ANCHORARRAY(G54),0))),K56&amp;"Por favor no seleccionar los criterios de impacto",L43)</f>
        <v>0</v>
      </c>
      <c r="N43" s="210"/>
      <c r="O43" s="222"/>
      <c r="P43" s="219"/>
      <c r="Q43" s="125">
        <v>3</v>
      </c>
      <c r="R43" s="138"/>
      <c r="S43" s="127" t="str">
        <f>IF(OR(T43="Preventivo",T43="Detectivo"),"Probabilidad",IF(T43="Correctivo","Impacto",""))</f>
        <v/>
      </c>
      <c r="T43" s="128"/>
      <c r="U43" s="128"/>
      <c r="V43" s="129" t="str">
        <f t="shared" si="36"/>
        <v/>
      </c>
      <c r="W43" s="128"/>
      <c r="X43" s="128"/>
      <c r="Y43" s="128"/>
      <c r="Z43" s="130" t="str">
        <f>IFERROR(IF(AND(S42="Probabilidad",S43="Probabilidad"),(AB42-(+AB42*V43)),IF(AND(S42="Impacto",S43="Probabilidad"),(AB41-(+AB41*V43)),IF(S43="Impacto",AB42,""))),"")</f>
        <v/>
      </c>
      <c r="AA43" s="131" t="str">
        <f t="shared" si="1"/>
        <v/>
      </c>
      <c r="AB43" s="132" t="str">
        <f t="shared" si="37"/>
        <v/>
      </c>
      <c r="AC43" s="131" t="str">
        <f t="shared" si="3"/>
        <v/>
      </c>
      <c r="AD43" s="140" t="str">
        <f>IFERROR(IF(AND(S42="Impacto",S43="Impacto"),(AD42-(+AD42*V43)),IF(AND(S42="Probabilidad",S43="Impacto"),(AD41-(+AD41*V43)),IF(S43="Probabilidad",AD42,""))),"")</f>
        <v/>
      </c>
      <c r="AE43" s="133" t="str">
        <f t="shared" si="38"/>
        <v/>
      </c>
      <c r="AF43" s="134"/>
      <c r="AG43" s="135"/>
      <c r="AH43" s="136"/>
      <c r="AI43" s="137"/>
      <c r="AJ43" s="137"/>
      <c r="AK43" s="135"/>
      <c r="AL43" s="136"/>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row>
    <row r="44" spans="1:70" ht="151.5" customHeight="1" x14ac:dyDescent="0.25">
      <c r="A44" s="213"/>
      <c r="B44" s="216"/>
      <c r="C44" s="216"/>
      <c r="D44" s="142"/>
      <c r="E44" s="216"/>
      <c r="F44" s="242"/>
      <c r="G44" s="242"/>
      <c r="H44" s="216"/>
      <c r="I44" s="245"/>
      <c r="J44" s="210"/>
      <c r="K44" s="222"/>
      <c r="L44" s="225"/>
      <c r="M44" s="222">
        <f>IF(NOT(ISERROR(MATCH(L44,_xlfn.ANCHORARRAY(G55),0))),K57&amp;"Por favor no seleccionar los criterios de impacto",L44)</f>
        <v>0</v>
      </c>
      <c r="N44" s="210"/>
      <c r="O44" s="222"/>
      <c r="P44" s="219"/>
      <c r="Q44" s="125">
        <v>4</v>
      </c>
      <c r="R44" s="126"/>
      <c r="S44" s="127" t="str">
        <f t="shared" ref="S44:S46" si="39">IF(OR(T44="Preventivo",T44="Detectivo"),"Probabilidad",IF(T44="Correctivo","Impacto",""))</f>
        <v/>
      </c>
      <c r="T44" s="128"/>
      <c r="U44" s="128"/>
      <c r="V44" s="129" t="str">
        <f t="shared" si="36"/>
        <v/>
      </c>
      <c r="W44" s="128"/>
      <c r="X44" s="128"/>
      <c r="Y44" s="128"/>
      <c r="Z44" s="130" t="str">
        <f t="shared" ref="Z44:Z46" si="40">IFERROR(IF(AND(S43="Probabilidad",S44="Probabilidad"),(AB43-(+AB43*V44)),IF(AND(S43="Impacto",S44="Probabilidad"),(AB42-(+AB42*V44)),IF(S44="Impacto",AB43,""))),"")</f>
        <v/>
      </c>
      <c r="AA44" s="131" t="str">
        <f t="shared" si="1"/>
        <v/>
      </c>
      <c r="AB44" s="132" t="str">
        <f t="shared" si="37"/>
        <v/>
      </c>
      <c r="AC44" s="131" t="str">
        <f t="shared" si="3"/>
        <v/>
      </c>
      <c r="AD44" s="140" t="str">
        <f t="shared" ref="AD44:AD46" si="41">IFERROR(IF(AND(S43="Impacto",S44="Impacto"),(AD43-(+AD43*V44)),IF(AND(S43="Probabilidad",S44="Impacto"),(AD42-(+AD42*V44)),IF(S44="Probabilidad",AD43,""))),"")</f>
        <v/>
      </c>
      <c r="AE44" s="133" t="str">
        <f>IFERROR(IF(OR(AND(AA44="Muy Baja",AC44="Leve"),AND(AA44="Muy Baja",AC44="Menor"),AND(AA44="Baja",AC44="Leve")),"Bajo",IF(OR(AND(AA44="Muy baja",AC44="Moderado"),AND(AA44="Baja",AC44="Menor"),AND(AA44="Baja",AC44="Moderado"),AND(AA44="Media",AC44="Leve"),AND(AA44="Media",AC44="Menor"),AND(AA44="Media",AC44="Moderado"),AND(AA44="Alta",AC44="Leve"),AND(AA44="Alta",AC44="Menor")),"Moderado",IF(OR(AND(AA44="Muy Baja",AC44="Mayor"),AND(AA44="Baja",AC44="Mayor"),AND(AA44="Media",AC44="Mayor"),AND(AA44="Alta",AC44="Moderado"),AND(AA44="Alta",AC44="Mayor"),AND(AA44="Muy Alta",AC44="Leve"),AND(AA44="Muy Alta",AC44="Menor"),AND(AA44="Muy Alta",AC44="Moderado"),AND(AA44="Muy Alta",AC44="Mayor")),"Alto",IF(OR(AND(AA44="Muy Baja",AC44="Catastrófico"),AND(AA44="Baja",AC44="Catastrófico"),AND(AA44="Media",AC44="Catastrófico"),AND(AA44="Alta",AC44="Catastrófico"),AND(AA44="Muy Alta",AC44="Catastrófico")),"Extremo","")))),"")</f>
        <v/>
      </c>
      <c r="AF44" s="134"/>
      <c r="AG44" s="135"/>
      <c r="AH44" s="136"/>
      <c r="AI44" s="137"/>
      <c r="AJ44" s="137"/>
      <c r="AK44" s="135"/>
      <c r="AL44" s="136"/>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row>
    <row r="45" spans="1:70" ht="151.5" customHeight="1" x14ac:dyDescent="0.25">
      <c r="A45" s="213"/>
      <c r="B45" s="216"/>
      <c r="C45" s="216"/>
      <c r="D45" s="142"/>
      <c r="E45" s="216"/>
      <c r="F45" s="242"/>
      <c r="G45" s="242"/>
      <c r="H45" s="216"/>
      <c r="I45" s="245"/>
      <c r="J45" s="210"/>
      <c r="K45" s="222"/>
      <c r="L45" s="225"/>
      <c r="M45" s="222">
        <f>IF(NOT(ISERROR(MATCH(L45,_xlfn.ANCHORARRAY(G56),0))),K58&amp;"Por favor no seleccionar los criterios de impacto",L45)</f>
        <v>0</v>
      </c>
      <c r="N45" s="210"/>
      <c r="O45" s="222"/>
      <c r="P45" s="219"/>
      <c r="Q45" s="125">
        <v>5</v>
      </c>
      <c r="R45" s="126"/>
      <c r="S45" s="127" t="str">
        <f t="shared" si="39"/>
        <v/>
      </c>
      <c r="T45" s="128"/>
      <c r="U45" s="128"/>
      <c r="V45" s="129" t="str">
        <f t="shared" si="36"/>
        <v/>
      </c>
      <c r="W45" s="128"/>
      <c r="X45" s="128"/>
      <c r="Y45" s="128"/>
      <c r="Z45" s="130" t="str">
        <f t="shared" si="40"/>
        <v/>
      </c>
      <c r="AA45" s="131" t="str">
        <f t="shared" si="1"/>
        <v/>
      </c>
      <c r="AB45" s="132" t="str">
        <f t="shared" si="37"/>
        <v/>
      </c>
      <c r="AC45" s="131" t="str">
        <f t="shared" si="3"/>
        <v/>
      </c>
      <c r="AD45" s="140" t="str">
        <f t="shared" si="41"/>
        <v/>
      </c>
      <c r="AE45" s="133" t="str">
        <f t="shared" ref="AE45" si="42">IFERROR(IF(OR(AND(AA45="Muy Baja",AC45="Leve"),AND(AA45="Muy Baja",AC45="Menor"),AND(AA45="Baja",AC45="Leve")),"Bajo",IF(OR(AND(AA45="Muy baja",AC45="Moderado"),AND(AA45="Baja",AC45="Menor"),AND(AA45="Baja",AC45="Moderado"),AND(AA45="Media",AC45="Leve"),AND(AA45="Media",AC45="Menor"),AND(AA45="Media",AC45="Moderado"),AND(AA45="Alta",AC45="Leve"),AND(AA45="Alta",AC45="Menor")),"Moderado",IF(OR(AND(AA45="Muy Baja",AC45="Mayor"),AND(AA45="Baja",AC45="Mayor"),AND(AA45="Media",AC45="Mayor"),AND(AA45="Alta",AC45="Moderado"),AND(AA45="Alta",AC45="Mayor"),AND(AA45="Muy Alta",AC45="Leve"),AND(AA45="Muy Alta",AC45="Menor"),AND(AA45="Muy Alta",AC45="Moderado"),AND(AA45="Muy Alta",AC45="Mayor")),"Alto",IF(OR(AND(AA45="Muy Baja",AC45="Catastrófico"),AND(AA45="Baja",AC45="Catastrófico"),AND(AA45="Media",AC45="Catastrófico"),AND(AA45="Alta",AC45="Catastrófico"),AND(AA45="Muy Alta",AC45="Catastrófico")),"Extremo","")))),"")</f>
        <v/>
      </c>
      <c r="AF45" s="134"/>
      <c r="AG45" s="135"/>
      <c r="AH45" s="136"/>
      <c r="AI45" s="137"/>
      <c r="AJ45" s="137"/>
      <c r="AK45" s="135"/>
      <c r="AL45" s="136"/>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row>
    <row r="46" spans="1:70" ht="151.5" customHeight="1" x14ac:dyDescent="0.25">
      <c r="A46" s="214"/>
      <c r="B46" s="217"/>
      <c r="C46" s="217"/>
      <c r="D46" s="143"/>
      <c r="E46" s="217"/>
      <c r="F46" s="243"/>
      <c r="G46" s="243"/>
      <c r="H46" s="217"/>
      <c r="I46" s="246"/>
      <c r="J46" s="211"/>
      <c r="K46" s="223"/>
      <c r="L46" s="226"/>
      <c r="M46" s="223">
        <f>IF(NOT(ISERROR(MATCH(L46,_xlfn.ANCHORARRAY(G57),0))),K59&amp;"Por favor no seleccionar los criterios de impacto",L46)</f>
        <v>0</v>
      </c>
      <c r="N46" s="211"/>
      <c r="O46" s="223"/>
      <c r="P46" s="220"/>
      <c r="Q46" s="125">
        <v>6</v>
      </c>
      <c r="R46" s="126"/>
      <c r="S46" s="127" t="str">
        <f t="shared" si="39"/>
        <v/>
      </c>
      <c r="T46" s="128"/>
      <c r="U46" s="128"/>
      <c r="V46" s="129" t="str">
        <f t="shared" si="36"/>
        <v/>
      </c>
      <c r="W46" s="128"/>
      <c r="X46" s="128"/>
      <c r="Y46" s="128"/>
      <c r="Z46" s="130" t="str">
        <f t="shared" si="40"/>
        <v/>
      </c>
      <c r="AA46" s="131" t="str">
        <f t="shared" si="1"/>
        <v/>
      </c>
      <c r="AB46" s="132" t="str">
        <f t="shared" si="37"/>
        <v/>
      </c>
      <c r="AC46" s="131" t="str">
        <f>IFERROR(IF(AD46="","",IF(AD46&lt;=0.2,"Leve",IF(AD46&lt;=0.4,"Menor",IF(AD46&lt;=0.6,"Moderado",IF(AD46&lt;=0.8,"Mayor","Catastrófico"))))),"")</f>
        <v/>
      </c>
      <c r="AD46" s="140" t="str">
        <f t="shared" si="41"/>
        <v/>
      </c>
      <c r="AE46" s="133" t="str">
        <f>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
      </c>
      <c r="AF46" s="134"/>
      <c r="AG46" s="135"/>
      <c r="AH46" s="136"/>
      <c r="AI46" s="137"/>
      <c r="AJ46" s="137"/>
      <c r="AK46" s="135"/>
      <c r="AL46" s="136"/>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row>
    <row r="47" spans="1:70" ht="151.5" customHeight="1" x14ac:dyDescent="0.25">
      <c r="A47" s="212">
        <v>7</v>
      </c>
      <c r="B47" s="215"/>
      <c r="C47" s="215"/>
      <c r="D47" s="141"/>
      <c r="E47" s="215"/>
      <c r="F47" s="241"/>
      <c r="G47" s="241"/>
      <c r="H47" s="215"/>
      <c r="I47" s="244"/>
      <c r="J47" s="209" t="str">
        <f>IF(I47&lt;=0,"",IF(I47&lt;=2,"Muy Baja",IF(I47&lt;=24,"Baja",IF(I47&lt;=500,"Media",IF(I47&lt;=5000,"Alta","Muy Alta")))))</f>
        <v/>
      </c>
      <c r="K47" s="221" t="str">
        <f>IF(J47="","",IF(J47="Muy Baja",0.2,IF(J47="Baja",0.4,IF(J47="Media",0.6,IF(J47="Alta",0.8,IF(J47="Muy Alta",1,))))))</f>
        <v/>
      </c>
      <c r="L47" s="224"/>
      <c r="M47" s="221">
        <f>IF(NOT(ISERROR(MATCH(L47,'Tabla Impacto'!$B$221:$B$223,0))),'Tabla Impacto'!$F$223&amp;"Por favor no seleccionar los criterios de impacto(Afectación Económica o presupuestal y Pérdida Reputacional)",L47)</f>
        <v>0</v>
      </c>
      <c r="N47" s="209" t="str">
        <f>IF(OR(M47='Tabla Impacto'!$C$11,M47='Tabla Impacto'!$D$11),"Leve",IF(OR(M47='Tabla Impacto'!$C$12,M47='Tabla Impacto'!$D$12),"Menor",IF(OR(M47='Tabla Impacto'!$C$13,M47='Tabla Impacto'!$D$13),"Moderado",IF(OR(M47='Tabla Impacto'!$C$14,M47='Tabla Impacto'!$D$14),"Mayor",IF(OR(M47='Tabla Impacto'!$C$15,M47='Tabla Impacto'!$D$15),"Catastrófico","")))))</f>
        <v/>
      </c>
      <c r="O47" s="221" t="str">
        <f>IF(N47="","",IF(N47="Leve",0.2,IF(N47="Menor",0.4,IF(N47="Moderado",0.6,IF(N47="Mayor",0.8,IF(N47="Catastrófico",1,))))))</f>
        <v/>
      </c>
      <c r="P47" s="218" t="str">
        <f>IF(OR(AND(J47="Muy Baja",N47="Leve"),AND(J47="Muy Baja",N47="Menor"),AND(J47="Baja",N47="Leve")),"Bajo",IF(OR(AND(J47="Muy baja",N47="Moderado"),AND(J47="Baja",N47="Menor"),AND(J47="Baja",N47="Moderado"),AND(J47="Media",N47="Leve"),AND(J47="Media",N47="Menor"),AND(J47="Media",N47="Moderado"),AND(J47="Alta",N47="Leve"),AND(J47="Alta",N47="Menor")),"Moderado",IF(OR(AND(J47="Muy Baja",N47="Mayor"),AND(J47="Baja",N47="Mayor"),AND(J47="Media",N47="Mayor"),AND(J47="Alta",N47="Moderado"),AND(J47="Alta",N47="Mayor"),AND(J47="Muy Alta",N47="Leve"),AND(J47="Muy Alta",N47="Menor"),AND(J47="Muy Alta",N47="Moderado"),AND(J47="Muy Alta",N47="Mayor")),"Alto",IF(OR(AND(J47="Muy Baja",N47="Catastrófico"),AND(J47="Baja",N47="Catastrófico"),AND(J47="Media",N47="Catastrófico"),AND(J47="Alta",N47="Catastrófico"),AND(J47="Muy Alta",N47="Catastrófico")),"Extremo",""))))</f>
        <v/>
      </c>
      <c r="Q47" s="125">
        <v>1</v>
      </c>
      <c r="R47" s="126"/>
      <c r="S47" s="127" t="str">
        <f>IF(OR(T47="Preventivo",T47="Detectivo"),"Probabilidad",IF(T47="Correctivo","Impacto",""))</f>
        <v/>
      </c>
      <c r="T47" s="128"/>
      <c r="U47" s="128"/>
      <c r="V47" s="129" t="str">
        <f>IF(AND(T47="Preventivo",U47="Automático"),"50%",IF(AND(T47="Preventivo",U47="Manual"),"40%",IF(AND(T47="Detectivo",U47="Automático"),"40%",IF(AND(T47="Detectivo",U47="Manual"),"30%",IF(AND(T47="Correctivo",U47="Automático"),"35%",IF(AND(T47="Correctivo",U47="Manual"),"25%",""))))))</f>
        <v/>
      </c>
      <c r="W47" s="128"/>
      <c r="X47" s="128"/>
      <c r="Y47" s="128"/>
      <c r="Z47" s="130" t="str">
        <f>IFERROR(IF(S47="Probabilidad",(K47-(+K47*V47)),IF(S47="Impacto",K47,"")),"")</f>
        <v/>
      </c>
      <c r="AA47" s="131" t="str">
        <f>IFERROR(IF(Z47="","",IF(Z47&lt;=0.2,"Muy Baja",IF(Z47&lt;=0.4,"Baja",IF(Z47&lt;=0.6,"Media",IF(Z47&lt;=0.8,"Alta","Muy Alta"))))),"")</f>
        <v/>
      </c>
      <c r="AB47" s="132" t="str">
        <f>+Z47</f>
        <v/>
      </c>
      <c r="AC47" s="131" t="str">
        <f>IFERROR(IF(AD47="","",IF(AD47&lt;=0.2,"Leve",IF(AD47&lt;=0.4,"Menor",IF(AD47&lt;=0.6,"Moderado",IF(AD47&lt;=0.8,"Mayor","Catastrófico"))))),"")</f>
        <v/>
      </c>
      <c r="AD47" s="140" t="str">
        <f>IFERROR(IF(S47="Impacto",(O47-(+O47*V47)),IF(S47="Probabilidad",O47,"")),"")</f>
        <v/>
      </c>
      <c r="AE47" s="133" t="str">
        <f>IFERROR(IF(OR(AND(AA47="Muy Baja",AC47="Leve"),AND(AA47="Muy Baja",AC47="Menor"),AND(AA47="Baja",AC47="Leve")),"Bajo",IF(OR(AND(AA47="Muy baja",AC47="Moderado"),AND(AA47="Baja",AC47="Menor"),AND(AA47="Baja",AC47="Moderado"),AND(AA47="Media",AC47="Leve"),AND(AA47="Media",AC47="Menor"),AND(AA47="Media",AC47="Moderado"),AND(AA47="Alta",AC47="Leve"),AND(AA47="Alta",AC47="Menor")),"Moderado",IF(OR(AND(AA47="Muy Baja",AC47="Mayor"),AND(AA47="Baja",AC47="Mayor"),AND(AA47="Media",AC47="Mayor"),AND(AA47="Alta",AC47="Moderado"),AND(AA47="Alta",AC47="Mayor"),AND(AA47="Muy Alta",AC47="Leve"),AND(AA47="Muy Alta",AC47="Menor"),AND(AA47="Muy Alta",AC47="Moderado"),AND(AA47="Muy Alta",AC47="Mayor")),"Alto",IF(OR(AND(AA47="Muy Baja",AC47="Catastrófico"),AND(AA47="Baja",AC47="Catastrófico"),AND(AA47="Media",AC47="Catastrófico"),AND(AA47="Alta",AC47="Catastrófico"),AND(AA47="Muy Alta",AC47="Catastrófico")),"Extremo","")))),"")</f>
        <v/>
      </c>
      <c r="AF47" s="134"/>
      <c r="AG47" s="135"/>
      <c r="AH47" s="136"/>
      <c r="AI47" s="137"/>
      <c r="AJ47" s="137"/>
      <c r="AK47" s="135"/>
      <c r="AL47" s="136"/>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row>
    <row r="48" spans="1:70" ht="151.5" customHeight="1" x14ac:dyDescent="0.25">
      <c r="A48" s="213"/>
      <c r="B48" s="216"/>
      <c r="C48" s="216"/>
      <c r="D48" s="142"/>
      <c r="E48" s="216"/>
      <c r="F48" s="242"/>
      <c r="G48" s="242"/>
      <c r="H48" s="216"/>
      <c r="I48" s="245"/>
      <c r="J48" s="210"/>
      <c r="K48" s="222"/>
      <c r="L48" s="225"/>
      <c r="M48" s="222">
        <f>IF(NOT(ISERROR(MATCH(L48,_xlfn.ANCHORARRAY(G59),0))),K61&amp;"Por favor no seleccionar los criterios de impacto",L48)</f>
        <v>0</v>
      </c>
      <c r="N48" s="210"/>
      <c r="O48" s="222"/>
      <c r="P48" s="219"/>
      <c r="Q48" s="125">
        <v>2</v>
      </c>
      <c r="R48" s="126"/>
      <c r="S48" s="127" t="str">
        <f>IF(OR(T48="Preventivo",T48="Detectivo"),"Probabilidad",IF(T48="Correctivo","Impacto",""))</f>
        <v/>
      </c>
      <c r="T48" s="128"/>
      <c r="U48" s="128"/>
      <c r="V48" s="129" t="str">
        <f t="shared" ref="V48:V52" si="43">IF(AND(T48="Preventivo",U48="Automático"),"50%",IF(AND(T48="Preventivo",U48="Manual"),"40%",IF(AND(T48="Detectivo",U48="Automático"),"40%",IF(AND(T48="Detectivo",U48="Manual"),"30%",IF(AND(T48="Correctivo",U48="Automático"),"35%",IF(AND(T48="Correctivo",U48="Manual"),"25%",""))))))</f>
        <v/>
      </c>
      <c r="W48" s="128"/>
      <c r="X48" s="128"/>
      <c r="Y48" s="128"/>
      <c r="Z48" s="130" t="str">
        <f>IFERROR(IF(AND(S47="Probabilidad",S48="Probabilidad"),(AB47-(+AB47*V48)),IF(S48="Probabilidad",(K47-(+K47*V48)),IF(S48="Impacto",AB47,""))),"")</f>
        <v/>
      </c>
      <c r="AA48" s="131" t="str">
        <f t="shared" si="1"/>
        <v/>
      </c>
      <c r="AB48" s="132" t="str">
        <f t="shared" ref="AB48:AB52" si="44">+Z48</f>
        <v/>
      </c>
      <c r="AC48" s="131" t="str">
        <f t="shared" si="3"/>
        <v/>
      </c>
      <c r="AD48" s="140" t="str">
        <f>IFERROR(IF(AND(S47="Impacto",S48="Impacto"),(AD47-(+AD47*V48)),IF(S48="Impacto",(O47-(+O47*V48)),IF(S48="Probabilidad",AD47,""))),"")</f>
        <v/>
      </c>
      <c r="AE48" s="133" t="str">
        <f t="shared" ref="AE48:AE49" si="45">IFERROR(IF(OR(AND(AA48="Muy Baja",AC48="Leve"),AND(AA48="Muy Baja",AC48="Menor"),AND(AA48="Baja",AC48="Leve")),"Bajo",IF(OR(AND(AA48="Muy baja",AC48="Moderado"),AND(AA48="Baja",AC48="Menor"),AND(AA48="Baja",AC48="Moderado"),AND(AA48="Media",AC48="Leve"),AND(AA48="Media",AC48="Menor"),AND(AA48="Media",AC48="Moderado"),AND(AA48="Alta",AC48="Leve"),AND(AA48="Alta",AC48="Menor")),"Moderado",IF(OR(AND(AA48="Muy Baja",AC48="Mayor"),AND(AA48="Baja",AC48="Mayor"),AND(AA48="Media",AC48="Mayor"),AND(AA48="Alta",AC48="Moderado"),AND(AA48="Alta",AC48="Mayor"),AND(AA48="Muy Alta",AC48="Leve"),AND(AA48="Muy Alta",AC48="Menor"),AND(AA48="Muy Alta",AC48="Moderado"),AND(AA48="Muy Alta",AC48="Mayor")),"Alto",IF(OR(AND(AA48="Muy Baja",AC48="Catastrófico"),AND(AA48="Baja",AC48="Catastrófico"),AND(AA48="Media",AC48="Catastrófico"),AND(AA48="Alta",AC48="Catastrófico"),AND(AA48="Muy Alta",AC48="Catastrófico")),"Extremo","")))),"")</f>
        <v/>
      </c>
      <c r="AF48" s="134"/>
      <c r="AG48" s="135"/>
      <c r="AH48" s="136"/>
      <c r="AI48" s="137"/>
      <c r="AJ48" s="137"/>
      <c r="AK48" s="135"/>
      <c r="AL48" s="136"/>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row>
    <row r="49" spans="1:70" ht="151.5" customHeight="1" x14ac:dyDescent="0.25">
      <c r="A49" s="213"/>
      <c r="B49" s="216"/>
      <c r="C49" s="216"/>
      <c r="D49" s="142"/>
      <c r="E49" s="216"/>
      <c r="F49" s="242"/>
      <c r="G49" s="242"/>
      <c r="H49" s="216"/>
      <c r="I49" s="245"/>
      <c r="J49" s="210"/>
      <c r="K49" s="222"/>
      <c r="L49" s="225"/>
      <c r="M49" s="222">
        <f>IF(NOT(ISERROR(MATCH(L49,_xlfn.ANCHORARRAY(G60),0))),K62&amp;"Por favor no seleccionar los criterios de impacto",L49)</f>
        <v>0</v>
      </c>
      <c r="N49" s="210"/>
      <c r="O49" s="222"/>
      <c r="P49" s="219"/>
      <c r="Q49" s="125">
        <v>3</v>
      </c>
      <c r="R49" s="138"/>
      <c r="S49" s="127" t="str">
        <f>IF(OR(T49="Preventivo",T49="Detectivo"),"Probabilidad",IF(T49="Correctivo","Impacto",""))</f>
        <v/>
      </c>
      <c r="T49" s="128"/>
      <c r="U49" s="128"/>
      <c r="V49" s="129" t="str">
        <f t="shared" si="43"/>
        <v/>
      </c>
      <c r="W49" s="128"/>
      <c r="X49" s="128"/>
      <c r="Y49" s="128"/>
      <c r="Z49" s="130" t="str">
        <f>IFERROR(IF(AND(S48="Probabilidad",S49="Probabilidad"),(AB48-(+AB48*V49)),IF(AND(S48="Impacto",S49="Probabilidad"),(AB47-(+AB47*V49)),IF(S49="Impacto",AB48,""))),"")</f>
        <v/>
      </c>
      <c r="AA49" s="131" t="str">
        <f t="shared" si="1"/>
        <v/>
      </c>
      <c r="AB49" s="132" t="str">
        <f t="shared" si="44"/>
        <v/>
      </c>
      <c r="AC49" s="131" t="str">
        <f t="shared" si="3"/>
        <v/>
      </c>
      <c r="AD49" s="140" t="str">
        <f>IFERROR(IF(AND(S48="Impacto",S49="Impacto"),(AD48-(+AD48*V49)),IF(AND(S48="Probabilidad",S49="Impacto"),(AD47-(+AD47*V49)),IF(S49="Probabilidad",AD48,""))),"")</f>
        <v/>
      </c>
      <c r="AE49" s="133" t="str">
        <f t="shared" si="45"/>
        <v/>
      </c>
      <c r="AF49" s="134"/>
      <c r="AG49" s="135"/>
      <c r="AH49" s="136"/>
      <c r="AI49" s="137"/>
      <c r="AJ49" s="137"/>
      <c r="AK49" s="135"/>
      <c r="AL49" s="136"/>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row>
    <row r="50" spans="1:70" ht="151.5" customHeight="1" x14ac:dyDescent="0.25">
      <c r="A50" s="213"/>
      <c r="B50" s="216"/>
      <c r="C50" s="216"/>
      <c r="D50" s="142"/>
      <c r="E50" s="216"/>
      <c r="F50" s="242"/>
      <c r="G50" s="242"/>
      <c r="H50" s="216"/>
      <c r="I50" s="245"/>
      <c r="J50" s="210"/>
      <c r="K50" s="222"/>
      <c r="L50" s="225"/>
      <c r="M50" s="222">
        <f>IF(NOT(ISERROR(MATCH(L50,_xlfn.ANCHORARRAY(G61),0))),K63&amp;"Por favor no seleccionar los criterios de impacto",L50)</f>
        <v>0</v>
      </c>
      <c r="N50" s="210"/>
      <c r="O50" s="222"/>
      <c r="P50" s="219"/>
      <c r="Q50" s="125">
        <v>4</v>
      </c>
      <c r="R50" s="126"/>
      <c r="S50" s="127" t="str">
        <f t="shared" ref="S50:S52" si="46">IF(OR(T50="Preventivo",T50="Detectivo"),"Probabilidad",IF(T50="Correctivo","Impacto",""))</f>
        <v/>
      </c>
      <c r="T50" s="128"/>
      <c r="U50" s="128"/>
      <c r="V50" s="129" t="str">
        <f t="shared" si="43"/>
        <v/>
      </c>
      <c r="W50" s="128"/>
      <c r="X50" s="128"/>
      <c r="Y50" s="128"/>
      <c r="Z50" s="130" t="str">
        <f t="shared" ref="Z50:Z52" si="47">IFERROR(IF(AND(S49="Probabilidad",S50="Probabilidad"),(AB49-(+AB49*V50)),IF(AND(S49="Impacto",S50="Probabilidad"),(AB48-(+AB48*V50)),IF(S50="Impacto",AB49,""))),"")</f>
        <v/>
      </c>
      <c r="AA50" s="131" t="str">
        <f t="shared" si="1"/>
        <v/>
      </c>
      <c r="AB50" s="132" t="str">
        <f t="shared" si="44"/>
        <v/>
      </c>
      <c r="AC50" s="131" t="str">
        <f t="shared" si="3"/>
        <v/>
      </c>
      <c r="AD50" s="140" t="str">
        <f t="shared" ref="AD50:AD52" si="48">IFERROR(IF(AND(S49="Impacto",S50="Impacto"),(AD49-(+AD49*V50)),IF(AND(S49="Probabilidad",S50="Impacto"),(AD48-(+AD48*V50)),IF(S50="Probabilidad",AD49,""))),"")</f>
        <v/>
      </c>
      <c r="AE50" s="133" t="str">
        <f>IFERROR(IF(OR(AND(AA50="Muy Baja",AC50="Leve"),AND(AA50="Muy Baja",AC50="Menor"),AND(AA50="Baja",AC50="Leve")),"Bajo",IF(OR(AND(AA50="Muy baja",AC50="Moderado"),AND(AA50="Baja",AC50="Menor"),AND(AA50="Baja",AC50="Moderado"),AND(AA50="Media",AC50="Leve"),AND(AA50="Media",AC50="Menor"),AND(AA50="Media",AC50="Moderado"),AND(AA50="Alta",AC50="Leve"),AND(AA50="Alta",AC50="Menor")),"Moderado",IF(OR(AND(AA50="Muy Baja",AC50="Mayor"),AND(AA50="Baja",AC50="Mayor"),AND(AA50="Media",AC50="Mayor"),AND(AA50="Alta",AC50="Moderado"),AND(AA50="Alta",AC50="Mayor"),AND(AA50="Muy Alta",AC50="Leve"),AND(AA50="Muy Alta",AC50="Menor"),AND(AA50="Muy Alta",AC50="Moderado"),AND(AA50="Muy Alta",AC50="Mayor")),"Alto",IF(OR(AND(AA50="Muy Baja",AC50="Catastrófico"),AND(AA50="Baja",AC50="Catastrófico"),AND(AA50="Media",AC50="Catastrófico"),AND(AA50="Alta",AC50="Catastrófico"),AND(AA50="Muy Alta",AC50="Catastrófico")),"Extremo","")))),"")</f>
        <v/>
      </c>
      <c r="AF50" s="134"/>
      <c r="AG50" s="135"/>
      <c r="AH50" s="136"/>
      <c r="AI50" s="137"/>
      <c r="AJ50" s="137"/>
      <c r="AK50" s="135"/>
      <c r="AL50" s="136"/>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row>
    <row r="51" spans="1:70" ht="151.5" customHeight="1" x14ac:dyDescent="0.25">
      <c r="A51" s="213"/>
      <c r="B51" s="216"/>
      <c r="C51" s="216"/>
      <c r="D51" s="142"/>
      <c r="E51" s="216"/>
      <c r="F51" s="242"/>
      <c r="G51" s="242"/>
      <c r="H51" s="216"/>
      <c r="I51" s="245"/>
      <c r="J51" s="210"/>
      <c r="K51" s="222"/>
      <c r="L51" s="225"/>
      <c r="M51" s="222">
        <f>IF(NOT(ISERROR(MATCH(L51,_xlfn.ANCHORARRAY(G62),0))),K64&amp;"Por favor no seleccionar los criterios de impacto",L51)</f>
        <v>0</v>
      </c>
      <c r="N51" s="210"/>
      <c r="O51" s="222"/>
      <c r="P51" s="219"/>
      <c r="Q51" s="125">
        <v>5</v>
      </c>
      <c r="R51" s="126"/>
      <c r="S51" s="127" t="str">
        <f t="shared" si="46"/>
        <v/>
      </c>
      <c r="T51" s="128"/>
      <c r="U51" s="128"/>
      <c r="V51" s="129" t="str">
        <f t="shared" si="43"/>
        <v/>
      </c>
      <c r="W51" s="128"/>
      <c r="X51" s="128"/>
      <c r="Y51" s="128"/>
      <c r="Z51" s="130" t="str">
        <f t="shared" si="47"/>
        <v/>
      </c>
      <c r="AA51" s="131" t="str">
        <f t="shared" si="1"/>
        <v/>
      </c>
      <c r="AB51" s="132" t="str">
        <f t="shared" si="44"/>
        <v/>
      </c>
      <c r="AC51" s="131" t="str">
        <f t="shared" si="3"/>
        <v/>
      </c>
      <c r="AD51" s="140" t="str">
        <f t="shared" si="48"/>
        <v/>
      </c>
      <c r="AE51" s="133" t="str">
        <f t="shared" ref="AE51:AE52" si="49">IFERROR(IF(OR(AND(AA51="Muy Baja",AC51="Leve"),AND(AA51="Muy Baja",AC51="Menor"),AND(AA51="Baja",AC51="Leve")),"Bajo",IF(OR(AND(AA51="Muy baja",AC51="Moderado"),AND(AA51="Baja",AC51="Menor"),AND(AA51="Baja",AC51="Moderado"),AND(AA51="Media",AC51="Leve"),AND(AA51="Media",AC51="Menor"),AND(AA51="Media",AC51="Moderado"),AND(AA51="Alta",AC51="Leve"),AND(AA51="Alta",AC51="Menor")),"Moderado",IF(OR(AND(AA51="Muy Baja",AC51="Mayor"),AND(AA51="Baja",AC51="Mayor"),AND(AA51="Media",AC51="Mayor"),AND(AA51="Alta",AC51="Moderado"),AND(AA51="Alta",AC51="Mayor"),AND(AA51="Muy Alta",AC51="Leve"),AND(AA51="Muy Alta",AC51="Menor"),AND(AA51="Muy Alta",AC51="Moderado"),AND(AA51="Muy Alta",AC51="Mayor")),"Alto",IF(OR(AND(AA51="Muy Baja",AC51="Catastrófico"),AND(AA51="Baja",AC51="Catastrófico"),AND(AA51="Media",AC51="Catastrófico"),AND(AA51="Alta",AC51="Catastrófico"),AND(AA51="Muy Alta",AC51="Catastrófico")),"Extremo","")))),"")</f>
        <v/>
      </c>
      <c r="AF51" s="134"/>
      <c r="AG51" s="135"/>
      <c r="AH51" s="136"/>
      <c r="AI51" s="137"/>
      <c r="AJ51" s="137"/>
      <c r="AK51" s="135"/>
      <c r="AL51" s="136"/>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row>
    <row r="52" spans="1:70" ht="151.5" customHeight="1" x14ac:dyDescent="0.25">
      <c r="A52" s="214"/>
      <c r="B52" s="217"/>
      <c r="C52" s="217"/>
      <c r="D52" s="143"/>
      <c r="E52" s="217"/>
      <c r="F52" s="243"/>
      <c r="G52" s="243"/>
      <c r="H52" s="217"/>
      <c r="I52" s="246"/>
      <c r="J52" s="211"/>
      <c r="K52" s="223"/>
      <c r="L52" s="226"/>
      <c r="M52" s="223">
        <f>IF(NOT(ISERROR(MATCH(L52,_xlfn.ANCHORARRAY(G63),0))),K65&amp;"Por favor no seleccionar los criterios de impacto",L52)</f>
        <v>0</v>
      </c>
      <c r="N52" s="211"/>
      <c r="O52" s="223"/>
      <c r="P52" s="220"/>
      <c r="Q52" s="125">
        <v>6</v>
      </c>
      <c r="R52" s="126"/>
      <c r="S52" s="127" t="str">
        <f t="shared" si="46"/>
        <v/>
      </c>
      <c r="T52" s="128"/>
      <c r="U52" s="128"/>
      <c r="V52" s="129" t="str">
        <f t="shared" si="43"/>
        <v/>
      </c>
      <c r="W52" s="128"/>
      <c r="X52" s="128"/>
      <c r="Y52" s="128"/>
      <c r="Z52" s="130" t="str">
        <f t="shared" si="47"/>
        <v/>
      </c>
      <c r="AA52" s="131" t="str">
        <f t="shared" si="1"/>
        <v/>
      </c>
      <c r="AB52" s="132" t="str">
        <f t="shared" si="44"/>
        <v/>
      </c>
      <c r="AC52" s="131" t="str">
        <f t="shared" si="3"/>
        <v/>
      </c>
      <c r="AD52" s="140" t="str">
        <f t="shared" si="48"/>
        <v/>
      </c>
      <c r="AE52" s="133" t="str">
        <f t="shared" si="49"/>
        <v/>
      </c>
      <c r="AF52" s="134"/>
      <c r="AG52" s="135"/>
      <c r="AH52" s="136"/>
      <c r="AI52" s="137"/>
      <c r="AJ52" s="137"/>
      <c r="AK52" s="135"/>
      <c r="AL52" s="136"/>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row>
    <row r="53" spans="1:70" ht="151.5" customHeight="1" x14ac:dyDescent="0.25">
      <c r="A53" s="212">
        <v>8</v>
      </c>
      <c r="B53" s="215"/>
      <c r="C53" s="215"/>
      <c r="D53" s="141"/>
      <c r="E53" s="215"/>
      <c r="F53" s="241"/>
      <c r="G53" s="241"/>
      <c r="H53" s="215"/>
      <c r="I53" s="244"/>
      <c r="J53" s="209" t="str">
        <f>IF(I53&lt;=0,"",IF(I53&lt;=2,"Muy Baja",IF(I53&lt;=24,"Baja",IF(I53&lt;=500,"Media",IF(I53&lt;=5000,"Alta","Muy Alta")))))</f>
        <v/>
      </c>
      <c r="K53" s="221" t="str">
        <f>IF(J53="","",IF(J53="Muy Baja",0.2,IF(J53="Baja",0.4,IF(J53="Media",0.6,IF(J53="Alta",0.8,IF(J53="Muy Alta",1,))))))</f>
        <v/>
      </c>
      <c r="L53" s="224"/>
      <c r="M53" s="221">
        <f>IF(NOT(ISERROR(MATCH(L53,'Tabla Impacto'!$B$221:$B$223,0))),'Tabla Impacto'!$F$223&amp;"Por favor no seleccionar los criterios de impacto(Afectación Económica o presupuestal y Pérdida Reputacional)",L53)</f>
        <v>0</v>
      </c>
      <c r="N53" s="209" t="str">
        <f>IF(OR(M53='Tabla Impacto'!$C$11,M53='Tabla Impacto'!$D$11),"Leve",IF(OR(M53='Tabla Impacto'!$C$12,M53='Tabla Impacto'!$D$12),"Menor",IF(OR(M53='Tabla Impacto'!$C$13,M53='Tabla Impacto'!$D$13),"Moderado",IF(OR(M53='Tabla Impacto'!$C$14,M53='Tabla Impacto'!$D$14),"Mayor",IF(OR(M53='Tabla Impacto'!$C$15,M53='Tabla Impacto'!$D$15),"Catastrófico","")))))</f>
        <v/>
      </c>
      <c r="O53" s="221" t="str">
        <f>IF(N53="","",IF(N53="Leve",0.2,IF(N53="Menor",0.4,IF(N53="Moderado",0.6,IF(N53="Mayor",0.8,IF(N53="Catastrófico",1,))))))</f>
        <v/>
      </c>
      <c r="P53" s="218" t="str">
        <f>IF(OR(AND(J53="Muy Baja",N53="Leve"),AND(J53="Muy Baja",N53="Menor"),AND(J53="Baja",N53="Leve")),"Bajo",IF(OR(AND(J53="Muy baja",N53="Moderado"),AND(J53="Baja",N53="Menor"),AND(J53="Baja",N53="Moderado"),AND(J53="Media",N53="Leve"),AND(J53="Media",N53="Menor"),AND(J53="Media",N53="Moderado"),AND(J53="Alta",N53="Leve"),AND(J53="Alta",N53="Menor")),"Moderado",IF(OR(AND(J53="Muy Baja",N53="Mayor"),AND(J53="Baja",N53="Mayor"),AND(J53="Media",N53="Mayor"),AND(J53="Alta",N53="Moderado"),AND(J53="Alta",N53="Mayor"),AND(J53="Muy Alta",N53="Leve"),AND(J53="Muy Alta",N53="Menor"),AND(J53="Muy Alta",N53="Moderado"),AND(J53="Muy Alta",N53="Mayor")),"Alto",IF(OR(AND(J53="Muy Baja",N53="Catastrófico"),AND(J53="Baja",N53="Catastrófico"),AND(J53="Media",N53="Catastrófico"),AND(J53="Alta",N53="Catastrófico"),AND(J53="Muy Alta",N53="Catastrófico")),"Extremo",""))))</f>
        <v/>
      </c>
      <c r="Q53" s="125">
        <v>1</v>
      </c>
      <c r="R53" s="126"/>
      <c r="S53" s="127" t="str">
        <f>IF(OR(T53="Preventivo",T53="Detectivo"),"Probabilidad",IF(T53="Correctivo","Impacto",""))</f>
        <v/>
      </c>
      <c r="T53" s="128"/>
      <c r="U53" s="128"/>
      <c r="V53" s="129" t="str">
        <f>IF(AND(T53="Preventivo",U53="Automático"),"50%",IF(AND(T53="Preventivo",U53="Manual"),"40%",IF(AND(T53="Detectivo",U53="Automático"),"40%",IF(AND(T53="Detectivo",U53="Manual"),"30%",IF(AND(T53="Correctivo",U53="Automático"),"35%",IF(AND(T53="Correctivo",U53="Manual"),"25%",""))))))</f>
        <v/>
      </c>
      <c r="W53" s="128"/>
      <c r="X53" s="128"/>
      <c r="Y53" s="128"/>
      <c r="Z53" s="130" t="str">
        <f>IFERROR(IF(S53="Probabilidad",(K53-(+K53*V53)),IF(S53="Impacto",K53,"")),"")</f>
        <v/>
      </c>
      <c r="AA53" s="131" t="str">
        <f>IFERROR(IF(Z53="","",IF(Z53&lt;=0.2,"Muy Baja",IF(Z53&lt;=0.4,"Baja",IF(Z53&lt;=0.6,"Media",IF(Z53&lt;=0.8,"Alta","Muy Alta"))))),"")</f>
        <v/>
      </c>
      <c r="AB53" s="132" t="str">
        <f>+Z53</f>
        <v/>
      </c>
      <c r="AC53" s="131" t="str">
        <f>IFERROR(IF(AD53="","",IF(AD53&lt;=0.2,"Leve",IF(AD53&lt;=0.4,"Menor",IF(AD53&lt;=0.6,"Moderado",IF(AD53&lt;=0.8,"Mayor","Catastrófico"))))),"")</f>
        <v/>
      </c>
      <c r="AD53" s="140" t="str">
        <f>IFERROR(IF(S53="Impacto",(O53-(+O53*V53)),IF(S53="Probabilidad",O53,"")),"")</f>
        <v/>
      </c>
      <c r="AE53" s="133" t="str">
        <f>IFERROR(IF(OR(AND(AA53="Muy Baja",AC53="Leve"),AND(AA53="Muy Baja",AC53="Menor"),AND(AA53="Baja",AC53="Leve")),"Bajo",IF(OR(AND(AA53="Muy baja",AC53="Moderado"),AND(AA53="Baja",AC53="Menor"),AND(AA53="Baja",AC53="Moderado"),AND(AA53="Media",AC53="Leve"),AND(AA53="Media",AC53="Menor"),AND(AA53="Media",AC53="Moderado"),AND(AA53="Alta",AC53="Leve"),AND(AA53="Alta",AC53="Menor")),"Moderado",IF(OR(AND(AA53="Muy Baja",AC53="Mayor"),AND(AA53="Baja",AC53="Mayor"),AND(AA53="Media",AC53="Mayor"),AND(AA53="Alta",AC53="Moderado"),AND(AA53="Alta",AC53="Mayor"),AND(AA53="Muy Alta",AC53="Leve"),AND(AA53="Muy Alta",AC53="Menor"),AND(AA53="Muy Alta",AC53="Moderado"),AND(AA53="Muy Alta",AC53="Mayor")),"Alto",IF(OR(AND(AA53="Muy Baja",AC53="Catastrófico"),AND(AA53="Baja",AC53="Catastrófico"),AND(AA53="Media",AC53="Catastrófico"),AND(AA53="Alta",AC53="Catastrófico"),AND(AA53="Muy Alta",AC53="Catastrófico")),"Extremo","")))),"")</f>
        <v/>
      </c>
      <c r="AF53" s="134"/>
      <c r="AG53" s="135"/>
      <c r="AH53" s="136"/>
      <c r="AI53" s="137"/>
      <c r="AJ53" s="137"/>
      <c r="AK53" s="135"/>
      <c r="AL53" s="136"/>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row>
    <row r="54" spans="1:70" ht="151.5" customHeight="1" x14ac:dyDescent="0.25">
      <c r="A54" s="213"/>
      <c r="B54" s="216"/>
      <c r="C54" s="216"/>
      <c r="D54" s="142"/>
      <c r="E54" s="216"/>
      <c r="F54" s="242"/>
      <c r="G54" s="242"/>
      <c r="H54" s="216"/>
      <c r="I54" s="245"/>
      <c r="J54" s="210"/>
      <c r="K54" s="222"/>
      <c r="L54" s="225"/>
      <c r="M54" s="222">
        <f>IF(NOT(ISERROR(MATCH(L54,_xlfn.ANCHORARRAY(G65),0))),K67&amp;"Por favor no seleccionar los criterios de impacto",L54)</f>
        <v>0</v>
      </c>
      <c r="N54" s="210"/>
      <c r="O54" s="222"/>
      <c r="P54" s="219"/>
      <c r="Q54" s="125">
        <v>2</v>
      </c>
      <c r="R54" s="126"/>
      <c r="S54" s="127" t="str">
        <f>IF(OR(T54="Preventivo",T54="Detectivo"),"Probabilidad",IF(T54="Correctivo","Impacto",""))</f>
        <v/>
      </c>
      <c r="T54" s="128"/>
      <c r="U54" s="128"/>
      <c r="V54" s="129" t="str">
        <f t="shared" ref="V54:V58" si="50">IF(AND(T54="Preventivo",U54="Automático"),"50%",IF(AND(T54="Preventivo",U54="Manual"),"40%",IF(AND(T54="Detectivo",U54="Automático"),"40%",IF(AND(T54="Detectivo",U54="Manual"),"30%",IF(AND(T54="Correctivo",U54="Automático"),"35%",IF(AND(T54="Correctivo",U54="Manual"),"25%",""))))))</f>
        <v/>
      </c>
      <c r="W54" s="128"/>
      <c r="X54" s="128"/>
      <c r="Y54" s="128"/>
      <c r="Z54" s="130" t="str">
        <f>IFERROR(IF(AND(S53="Probabilidad",S54="Probabilidad"),(AB53-(+AB53*V54)),IF(S54="Probabilidad",(K53-(+K53*V54)),IF(S54="Impacto",AB53,""))),"")</f>
        <v/>
      </c>
      <c r="AA54" s="131" t="str">
        <f t="shared" si="1"/>
        <v/>
      </c>
      <c r="AB54" s="132" t="str">
        <f t="shared" ref="AB54:AB58" si="51">+Z54</f>
        <v/>
      </c>
      <c r="AC54" s="131" t="str">
        <f t="shared" si="3"/>
        <v/>
      </c>
      <c r="AD54" s="140" t="str">
        <f>IFERROR(IF(AND(S53="Impacto",S54="Impacto"),(AD53-(+AD53*V54)),IF(S54="Impacto",(O53-(+O53*V54)),IF(S54="Probabilidad",AD53,""))),"")</f>
        <v/>
      </c>
      <c r="AE54" s="133" t="str">
        <f t="shared" ref="AE54:AE55" si="52">IFERROR(IF(OR(AND(AA54="Muy Baja",AC54="Leve"),AND(AA54="Muy Baja",AC54="Menor"),AND(AA54="Baja",AC54="Leve")),"Bajo",IF(OR(AND(AA54="Muy baja",AC54="Moderado"),AND(AA54="Baja",AC54="Menor"),AND(AA54="Baja",AC54="Moderado"),AND(AA54="Media",AC54="Leve"),AND(AA54="Media",AC54="Menor"),AND(AA54="Media",AC54="Moderado"),AND(AA54="Alta",AC54="Leve"),AND(AA54="Alta",AC54="Menor")),"Moderado",IF(OR(AND(AA54="Muy Baja",AC54="Mayor"),AND(AA54="Baja",AC54="Mayor"),AND(AA54="Media",AC54="Mayor"),AND(AA54="Alta",AC54="Moderado"),AND(AA54="Alta",AC54="Mayor"),AND(AA54="Muy Alta",AC54="Leve"),AND(AA54="Muy Alta",AC54="Menor"),AND(AA54="Muy Alta",AC54="Moderado"),AND(AA54="Muy Alta",AC54="Mayor")),"Alto",IF(OR(AND(AA54="Muy Baja",AC54="Catastrófico"),AND(AA54="Baja",AC54="Catastrófico"),AND(AA54="Media",AC54="Catastrófico"),AND(AA54="Alta",AC54="Catastrófico"),AND(AA54="Muy Alta",AC54="Catastrófico")),"Extremo","")))),"")</f>
        <v/>
      </c>
      <c r="AF54" s="134"/>
      <c r="AG54" s="135"/>
      <c r="AH54" s="136"/>
      <c r="AI54" s="137"/>
      <c r="AJ54" s="137"/>
      <c r="AK54" s="135"/>
      <c r="AL54" s="136"/>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row>
    <row r="55" spans="1:70" ht="151.5" customHeight="1" x14ac:dyDescent="0.25">
      <c r="A55" s="213"/>
      <c r="B55" s="216"/>
      <c r="C55" s="216"/>
      <c r="D55" s="142"/>
      <c r="E55" s="216"/>
      <c r="F55" s="242"/>
      <c r="G55" s="242"/>
      <c r="H55" s="216"/>
      <c r="I55" s="245"/>
      <c r="J55" s="210"/>
      <c r="K55" s="222"/>
      <c r="L55" s="225"/>
      <c r="M55" s="222">
        <f>IF(NOT(ISERROR(MATCH(L55,_xlfn.ANCHORARRAY(G66),0))),K68&amp;"Por favor no seleccionar los criterios de impacto",L55)</f>
        <v>0</v>
      </c>
      <c r="N55" s="210"/>
      <c r="O55" s="222"/>
      <c r="P55" s="219"/>
      <c r="Q55" s="125">
        <v>3</v>
      </c>
      <c r="R55" s="138"/>
      <c r="S55" s="127" t="str">
        <f>IF(OR(T55="Preventivo",T55="Detectivo"),"Probabilidad",IF(T55="Correctivo","Impacto",""))</f>
        <v/>
      </c>
      <c r="T55" s="128"/>
      <c r="U55" s="128"/>
      <c r="V55" s="129" t="str">
        <f t="shared" si="50"/>
        <v/>
      </c>
      <c r="W55" s="128"/>
      <c r="X55" s="128"/>
      <c r="Y55" s="128"/>
      <c r="Z55" s="130" t="str">
        <f>IFERROR(IF(AND(S54="Probabilidad",S55="Probabilidad"),(AB54-(+AB54*V55)),IF(AND(S54="Impacto",S55="Probabilidad"),(AB53-(+AB53*V55)),IF(S55="Impacto",AB54,""))),"")</f>
        <v/>
      </c>
      <c r="AA55" s="131" t="str">
        <f t="shared" si="1"/>
        <v/>
      </c>
      <c r="AB55" s="132" t="str">
        <f t="shared" si="51"/>
        <v/>
      </c>
      <c r="AC55" s="131" t="str">
        <f t="shared" si="3"/>
        <v/>
      </c>
      <c r="AD55" s="140" t="str">
        <f>IFERROR(IF(AND(S54="Impacto",S55="Impacto"),(AD54-(+AD54*V55)),IF(AND(S54="Probabilidad",S55="Impacto"),(AD53-(+AD53*V55)),IF(S55="Probabilidad",AD54,""))),"")</f>
        <v/>
      </c>
      <c r="AE55" s="133" t="str">
        <f t="shared" si="52"/>
        <v/>
      </c>
      <c r="AF55" s="134"/>
      <c r="AG55" s="135"/>
      <c r="AH55" s="136"/>
      <c r="AI55" s="137"/>
      <c r="AJ55" s="137"/>
      <c r="AK55" s="135"/>
      <c r="AL55" s="136"/>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row>
    <row r="56" spans="1:70" ht="151.5" customHeight="1" x14ac:dyDescent="0.25">
      <c r="A56" s="213"/>
      <c r="B56" s="216"/>
      <c r="C56" s="216"/>
      <c r="D56" s="142"/>
      <c r="E56" s="216"/>
      <c r="F56" s="242"/>
      <c r="G56" s="242"/>
      <c r="H56" s="216"/>
      <c r="I56" s="245"/>
      <c r="J56" s="210"/>
      <c r="K56" s="222"/>
      <c r="L56" s="225"/>
      <c r="M56" s="222">
        <f>IF(NOT(ISERROR(MATCH(L56,_xlfn.ANCHORARRAY(G67),0))),K69&amp;"Por favor no seleccionar los criterios de impacto",L56)</f>
        <v>0</v>
      </c>
      <c r="N56" s="210"/>
      <c r="O56" s="222"/>
      <c r="P56" s="219"/>
      <c r="Q56" s="125">
        <v>4</v>
      </c>
      <c r="R56" s="126"/>
      <c r="S56" s="127" t="str">
        <f t="shared" ref="S56:S58" si="53">IF(OR(T56="Preventivo",T56="Detectivo"),"Probabilidad",IF(T56="Correctivo","Impacto",""))</f>
        <v/>
      </c>
      <c r="T56" s="128"/>
      <c r="U56" s="128"/>
      <c r="V56" s="129" t="str">
        <f t="shared" si="50"/>
        <v/>
      </c>
      <c r="W56" s="128"/>
      <c r="X56" s="128"/>
      <c r="Y56" s="128"/>
      <c r="Z56" s="130" t="str">
        <f t="shared" ref="Z56:Z58" si="54">IFERROR(IF(AND(S55="Probabilidad",S56="Probabilidad"),(AB55-(+AB55*V56)),IF(AND(S55="Impacto",S56="Probabilidad"),(AB54-(+AB54*V56)),IF(S56="Impacto",AB55,""))),"")</f>
        <v/>
      </c>
      <c r="AA56" s="131" t="str">
        <f t="shared" si="1"/>
        <v/>
      </c>
      <c r="AB56" s="132" t="str">
        <f t="shared" si="51"/>
        <v/>
      </c>
      <c r="AC56" s="131" t="str">
        <f t="shared" si="3"/>
        <v/>
      </c>
      <c r="AD56" s="140" t="str">
        <f t="shared" ref="AD56:AD58" si="55">IFERROR(IF(AND(S55="Impacto",S56="Impacto"),(AD55-(+AD55*V56)),IF(AND(S55="Probabilidad",S56="Impacto"),(AD54-(+AD54*V56)),IF(S56="Probabilidad",AD55,""))),"")</f>
        <v/>
      </c>
      <c r="AE56" s="133" t="str">
        <f>IFERROR(IF(OR(AND(AA56="Muy Baja",AC56="Leve"),AND(AA56="Muy Baja",AC56="Menor"),AND(AA56="Baja",AC56="Leve")),"Bajo",IF(OR(AND(AA56="Muy baja",AC56="Moderado"),AND(AA56="Baja",AC56="Menor"),AND(AA56="Baja",AC56="Moderado"),AND(AA56="Media",AC56="Leve"),AND(AA56="Media",AC56="Menor"),AND(AA56="Media",AC56="Moderado"),AND(AA56="Alta",AC56="Leve"),AND(AA56="Alta",AC56="Menor")),"Moderado",IF(OR(AND(AA56="Muy Baja",AC56="Mayor"),AND(AA56="Baja",AC56="Mayor"),AND(AA56="Media",AC56="Mayor"),AND(AA56="Alta",AC56="Moderado"),AND(AA56="Alta",AC56="Mayor"),AND(AA56="Muy Alta",AC56="Leve"),AND(AA56="Muy Alta",AC56="Menor"),AND(AA56="Muy Alta",AC56="Moderado"),AND(AA56="Muy Alta",AC56="Mayor")),"Alto",IF(OR(AND(AA56="Muy Baja",AC56="Catastrófico"),AND(AA56="Baja",AC56="Catastrófico"),AND(AA56="Media",AC56="Catastrófico"),AND(AA56="Alta",AC56="Catastrófico"),AND(AA56="Muy Alta",AC56="Catastrófico")),"Extremo","")))),"")</f>
        <v/>
      </c>
      <c r="AF56" s="134"/>
      <c r="AG56" s="135"/>
      <c r="AH56" s="136"/>
      <c r="AI56" s="137"/>
      <c r="AJ56" s="137"/>
      <c r="AK56" s="135"/>
      <c r="AL56" s="136"/>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row>
    <row r="57" spans="1:70" ht="151.5" customHeight="1" x14ac:dyDescent="0.25">
      <c r="A57" s="213"/>
      <c r="B57" s="216"/>
      <c r="C57" s="216"/>
      <c r="D57" s="142"/>
      <c r="E57" s="216"/>
      <c r="F57" s="242"/>
      <c r="G57" s="242"/>
      <c r="H57" s="216"/>
      <c r="I57" s="245"/>
      <c r="J57" s="210"/>
      <c r="K57" s="222"/>
      <c r="L57" s="225"/>
      <c r="M57" s="222">
        <f>IF(NOT(ISERROR(MATCH(L57,_xlfn.ANCHORARRAY(G68),0))),K70&amp;"Por favor no seleccionar los criterios de impacto",L57)</f>
        <v>0</v>
      </c>
      <c r="N57" s="210"/>
      <c r="O57" s="222"/>
      <c r="P57" s="219"/>
      <c r="Q57" s="125">
        <v>5</v>
      </c>
      <c r="R57" s="126"/>
      <c r="S57" s="127" t="str">
        <f t="shared" si="53"/>
        <v/>
      </c>
      <c r="T57" s="128"/>
      <c r="U57" s="128"/>
      <c r="V57" s="129" t="str">
        <f t="shared" si="50"/>
        <v/>
      </c>
      <c r="W57" s="128"/>
      <c r="X57" s="128"/>
      <c r="Y57" s="128"/>
      <c r="Z57" s="130" t="str">
        <f t="shared" si="54"/>
        <v/>
      </c>
      <c r="AA57" s="131" t="str">
        <f t="shared" si="1"/>
        <v/>
      </c>
      <c r="AB57" s="132" t="str">
        <f t="shared" si="51"/>
        <v/>
      </c>
      <c r="AC57" s="131" t="str">
        <f t="shared" si="3"/>
        <v/>
      </c>
      <c r="AD57" s="140" t="str">
        <f t="shared" si="55"/>
        <v/>
      </c>
      <c r="AE57" s="133" t="str">
        <f t="shared" ref="AE57:AE58" si="56">IFERROR(IF(OR(AND(AA57="Muy Baja",AC57="Leve"),AND(AA57="Muy Baja",AC57="Menor"),AND(AA57="Baja",AC57="Leve")),"Bajo",IF(OR(AND(AA57="Muy baja",AC57="Moderado"),AND(AA57="Baja",AC57="Menor"),AND(AA57="Baja",AC57="Moderado"),AND(AA57="Media",AC57="Leve"),AND(AA57="Media",AC57="Menor"),AND(AA57="Media",AC57="Moderado"),AND(AA57="Alta",AC57="Leve"),AND(AA57="Alta",AC57="Menor")),"Moderado",IF(OR(AND(AA57="Muy Baja",AC57="Mayor"),AND(AA57="Baja",AC57="Mayor"),AND(AA57="Media",AC57="Mayor"),AND(AA57="Alta",AC57="Moderado"),AND(AA57="Alta",AC57="Mayor"),AND(AA57="Muy Alta",AC57="Leve"),AND(AA57="Muy Alta",AC57="Menor"),AND(AA57="Muy Alta",AC57="Moderado"),AND(AA57="Muy Alta",AC57="Mayor")),"Alto",IF(OR(AND(AA57="Muy Baja",AC57="Catastrófico"),AND(AA57="Baja",AC57="Catastrófico"),AND(AA57="Media",AC57="Catastrófico"),AND(AA57="Alta",AC57="Catastrófico"),AND(AA57="Muy Alta",AC57="Catastrófico")),"Extremo","")))),"")</f>
        <v/>
      </c>
      <c r="AF57" s="134"/>
      <c r="AG57" s="135"/>
      <c r="AH57" s="136"/>
      <c r="AI57" s="137"/>
      <c r="AJ57" s="137"/>
      <c r="AK57" s="135"/>
      <c r="AL57" s="136"/>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row>
    <row r="58" spans="1:70" ht="151.5" customHeight="1" x14ac:dyDescent="0.25">
      <c r="A58" s="214"/>
      <c r="B58" s="217"/>
      <c r="C58" s="217"/>
      <c r="D58" s="143"/>
      <c r="E58" s="217"/>
      <c r="F58" s="243"/>
      <c r="G58" s="243"/>
      <c r="H58" s="217"/>
      <c r="I58" s="246"/>
      <c r="J58" s="211"/>
      <c r="K58" s="223"/>
      <c r="L58" s="226"/>
      <c r="M58" s="223">
        <f>IF(NOT(ISERROR(MATCH(L58,_xlfn.ANCHORARRAY(G69),0))),K71&amp;"Por favor no seleccionar los criterios de impacto",L58)</f>
        <v>0</v>
      </c>
      <c r="N58" s="211"/>
      <c r="O58" s="223"/>
      <c r="P58" s="220"/>
      <c r="Q58" s="125">
        <v>6</v>
      </c>
      <c r="R58" s="126"/>
      <c r="S58" s="127" t="str">
        <f t="shared" si="53"/>
        <v/>
      </c>
      <c r="T58" s="128"/>
      <c r="U58" s="128"/>
      <c r="V58" s="129" t="str">
        <f t="shared" si="50"/>
        <v/>
      </c>
      <c r="W58" s="128"/>
      <c r="X58" s="128"/>
      <c r="Y58" s="128"/>
      <c r="Z58" s="130" t="str">
        <f t="shared" si="54"/>
        <v/>
      </c>
      <c r="AA58" s="131" t="str">
        <f t="shared" si="1"/>
        <v/>
      </c>
      <c r="AB58" s="132" t="str">
        <f t="shared" si="51"/>
        <v/>
      </c>
      <c r="AC58" s="131" t="str">
        <f t="shared" si="3"/>
        <v/>
      </c>
      <c r="AD58" s="140" t="str">
        <f t="shared" si="55"/>
        <v/>
      </c>
      <c r="AE58" s="133" t="str">
        <f t="shared" si="56"/>
        <v/>
      </c>
      <c r="AF58" s="134"/>
      <c r="AG58" s="135"/>
      <c r="AH58" s="136"/>
      <c r="AI58" s="137"/>
      <c r="AJ58" s="137"/>
      <c r="AK58" s="135"/>
      <c r="AL58" s="136"/>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row>
    <row r="59" spans="1:70" ht="151.5" customHeight="1" x14ac:dyDescent="0.25">
      <c r="A59" s="212">
        <v>9</v>
      </c>
      <c r="B59" s="215"/>
      <c r="C59" s="215"/>
      <c r="D59" s="141"/>
      <c r="E59" s="215"/>
      <c r="F59" s="241"/>
      <c r="G59" s="241"/>
      <c r="H59" s="215"/>
      <c r="I59" s="244"/>
      <c r="J59" s="209" t="str">
        <f>IF(I59&lt;=0,"",IF(I59&lt;=2,"Muy Baja",IF(I59&lt;=24,"Baja",IF(I59&lt;=500,"Media",IF(I59&lt;=5000,"Alta","Muy Alta")))))</f>
        <v/>
      </c>
      <c r="K59" s="221" t="str">
        <f>IF(J59="","",IF(J59="Muy Baja",0.2,IF(J59="Baja",0.4,IF(J59="Media",0.6,IF(J59="Alta",0.8,IF(J59="Muy Alta",1,))))))</f>
        <v/>
      </c>
      <c r="L59" s="224"/>
      <c r="M59" s="221">
        <f>IF(NOT(ISERROR(MATCH(L59,'Tabla Impacto'!$B$221:$B$223,0))),'Tabla Impacto'!$F$223&amp;"Por favor no seleccionar los criterios de impacto(Afectación Económica o presupuestal y Pérdida Reputacional)",L59)</f>
        <v>0</v>
      </c>
      <c r="N59" s="209" t="str">
        <f>IF(OR(M59='Tabla Impacto'!$C$11,M59='Tabla Impacto'!$D$11),"Leve",IF(OR(M59='Tabla Impacto'!$C$12,M59='Tabla Impacto'!$D$12),"Menor",IF(OR(M59='Tabla Impacto'!$C$13,M59='Tabla Impacto'!$D$13),"Moderado",IF(OR(M59='Tabla Impacto'!$C$14,M59='Tabla Impacto'!$D$14),"Mayor",IF(OR(M59='Tabla Impacto'!$C$15,M59='Tabla Impacto'!$D$15),"Catastrófico","")))))</f>
        <v/>
      </c>
      <c r="O59" s="221" t="str">
        <f>IF(N59="","",IF(N59="Leve",0.2,IF(N59="Menor",0.4,IF(N59="Moderado",0.6,IF(N59="Mayor",0.8,IF(N59="Catastrófico",1,))))))</f>
        <v/>
      </c>
      <c r="P59" s="218" t="str">
        <f>IF(OR(AND(J59="Muy Baja",N59="Leve"),AND(J59="Muy Baja",N59="Menor"),AND(J59="Baja",N59="Leve")),"Bajo",IF(OR(AND(J59="Muy baja",N59="Moderado"),AND(J59="Baja",N59="Menor"),AND(J59="Baja",N59="Moderado"),AND(J59="Media",N59="Leve"),AND(J59="Media",N59="Menor"),AND(J59="Media",N59="Moderado"),AND(J59="Alta",N59="Leve"),AND(J59="Alta",N59="Menor")),"Moderado",IF(OR(AND(J59="Muy Baja",N59="Mayor"),AND(J59="Baja",N59="Mayor"),AND(J59="Media",N59="Mayor"),AND(J59="Alta",N59="Moderado"),AND(J59="Alta",N59="Mayor"),AND(J59="Muy Alta",N59="Leve"),AND(J59="Muy Alta",N59="Menor"),AND(J59="Muy Alta",N59="Moderado"),AND(J59="Muy Alta",N59="Mayor")),"Alto",IF(OR(AND(J59="Muy Baja",N59="Catastrófico"),AND(J59="Baja",N59="Catastrófico"),AND(J59="Media",N59="Catastrófico"),AND(J59="Alta",N59="Catastrófico"),AND(J59="Muy Alta",N59="Catastrófico")),"Extremo",""))))</f>
        <v/>
      </c>
      <c r="Q59" s="125">
        <v>1</v>
      </c>
      <c r="R59" s="126"/>
      <c r="S59" s="127" t="str">
        <f>IF(OR(T59="Preventivo",T59="Detectivo"),"Probabilidad",IF(T59="Correctivo","Impacto",""))</f>
        <v/>
      </c>
      <c r="T59" s="128"/>
      <c r="U59" s="128"/>
      <c r="V59" s="129" t="str">
        <f>IF(AND(T59="Preventivo",U59="Automático"),"50%",IF(AND(T59="Preventivo",U59="Manual"),"40%",IF(AND(T59="Detectivo",U59="Automático"),"40%",IF(AND(T59="Detectivo",U59="Manual"),"30%",IF(AND(T59="Correctivo",U59="Automático"),"35%",IF(AND(T59="Correctivo",U59="Manual"),"25%",""))))))</f>
        <v/>
      </c>
      <c r="W59" s="128"/>
      <c r="X59" s="128"/>
      <c r="Y59" s="128"/>
      <c r="Z59" s="130" t="str">
        <f>IFERROR(IF(S59="Probabilidad",(K59-(+K59*V59)),IF(S59="Impacto",K59,"")),"")</f>
        <v/>
      </c>
      <c r="AA59" s="131" t="str">
        <f>IFERROR(IF(Z59="","",IF(Z59&lt;=0.2,"Muy Baja",IF(Z59&lt;=0.4,"Baja",IF(Z59&lt;=0.6,"Media",IF(Z59&lt;=0.8,"Alta","Muy Alta"))))),"")</f>
        <v/>
      </c>
      <c r="AB59" s="132" t="str">
        <f>+Z59</f>
        <v/>
      </c>
      <c r="AC59" s="131" t="str">
        <f>IFERROR(IF(AD59="","",IF(AD59&lt;=0.2,"Leve",IF(AD59&lt;=0.4,"Menor",IF(AD59&lt;=0.6,"Moderado",IF(AD59&lt;=0.8,"Mayor","Catastrófico"))))),"")</f>
        <v/>
      </c>
      <c r="AD59" s="140" t="str">
        <f>IFERROR(IF(S59="Impacto",(O59-(+O59*V59)),IF(S59="Probabilidad",O59,"")),"")</f>
        <v/>
      </c>
      <c r="AE59" s="133" t="str">
        <f>IFERROR(IF(OR(AND(AA59="Muy Baja",AC59="Leve"),AND(AA59="Muy Baja",AC59="Menor"),AND(AA59="Baja",AC59="Leve")),"Bajo",IF(OR(AND(AA59="Muy baja",AC59="Moderado"),AND(AA59="Baja",AC59="Menor"),AND(AA59="Baja",AC59="Moderado"),AND(AA59="Media",AC59="Leve"),AND(AA59="Media",AC59="Menor"),AND(AA59="Media",AC59="Moderado"),AND(AA59="Alta",AC59="Leve"),AND(AA59="Alta",AC59="Menor")),"Moderado",IF(OR(AND(AA59="Muy Baja",AC59="Mayor"),AND(AA59="Baja",AC59="Mayor"),AND(AA59="Media",AC59="Mayor"),AND(AA59="Alta",AC59="Moderado"),AND(AA59="Alta",AC59="Mayor"),AND(AA59="Muy Alta",AC59="Leve"),AND(AA59="Muy Alta",AC59="Menor"),AND(AA59="Muy Alta",AC59="Moderado"),AND(AA59="Muy Alta",AC59="Mayor")),"Alto",IF(OR(AND(AA59="Muy Baja",AC59="Catastrófico"),AND(AA59="Baja",AC59="Catastrófico"),AND(AA59="Media",AC59="Catastrófico"),AND(AA59="Alta",AC59="Catastrófico"),AND(AA59="Muy Alta",AC59="Catastrófico")),"Extremo","")))),"")</f>
        <v/>
      </c>
      <c r="AF59" s="134"/>
      <c r="AG59" s="135"/>
      <c r="AH59" s="136"/>
      <c r="AI59" s="137"/>
      <c r="AJ59" s="137"/>
      <c r="AK59" s="135"/>
      <c r="AL59" s="136"/>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row>
    <row r="60" spans="1:70" ht="151.5" customHeight="1" x14ac:dyDescent="0.25">
      <c r="A60" s="213"/>
      <c r="B60" s="216"/>
      <c r="C60" s="216"/>
      <c r="D60" s="142"/>
      <c r="E60" s="216"/>
      <c r="F60" s="242"/>
      <c r="G60" s="242"/>
      <c r="H60" s="216"/>
      <c r="I60" s="245"/>
      <c r="J60" s="210"/>
      <c r="K60" s="222"/>
      <c r="L60" s="225"/>
      <c r="M60" s="222">
        <f>IF(NOT(ISERROR(MATCH(L60,_xlfn.ANCHORARRAY(E71),0))),K73&amp;"Por favor no seleccionar los criterios de impacto",L60)</f>
        <v>0</v>
      </c>
      <c r="N60" s="210"/>
      <c r="O60" s="222"/>
      <c r="P60" s="219"/>
      <c r="Q60" s="125">
        <v>2</v>
      </c>
      <c r="R60" s="126"/>
      <c r="S60" s="127" t="str">
        <f>IF(OR(T60="Preventivo",T60="Detectivo"),"Probabilidad",IF(T60="Correctivo","Impacto",""))</f>
        <v/>
      </c>
      <c r="T60" s="128"/>
      <c r="U60" s="128"/>
      <c r="V60" s="129" t="str">
        <f t="shared" ref="V60:V64" si="57">IF(AND(T60="Preventivo",U60="Automático"),"50%",IF(AND(T60="Preventivo",U60="Manual"),"40%",IF(AND(T60="Detectivo",U60="Automático"),"40%",IF(AND(T60="Detectivo",U60="Manual"),"30%",IF(AND(T60="Correctivo",U60="Automático"),"35%",IF(AND(T60="Correctivo",U60="Manual"),"25%",""))))))</f>
        <v/>
      </c>
      <c r="W60" s="128"/>
      <c r="X60" s="128"/>
      <c r="Y60" s="128"/>
      <c r="Z60" s="130" t="str">
        <f>IFERROR(IF(AND(S59="Probabilidad",S60="Probabilidad"),(AB59-(+AB59*V60)),IF(S60="Probabilidad",(K59-(+K59*V60)),IF(S60="Impacto",AB59,""))),"")</f>
        <v/>
      </c>
      <c r="AA60" s="131" t="str">
        <f t="shared" si="1"/>
        <v/>
      </c>
      <c r="AB60" s="132" t="str">
        <f t="shared" ref="AB60:AB64" si="58">+Z60</f>
        <v/>
      </c>
      <c r="AC60" s="131" t="str">
        <f t="shared" si="3"/>
        <v/>
      </c>
      <c r="AD60" s="140" t="str">
        <f>IFERROR(IF(AND(S59="Impacto",S60="Impacto"),(AD59-(+AD59*V60)),IF(S60="Impacto",(O59-(+O59*V60)),IF(S60="Probabilidad",AD59,""))),"")</f>
        <v/>
      </c>
      <c r="AE60" s="133" t="str">
        <f t="shared" ref="AE60:AE61" si="59">IFERROR(IF(OR(AND(AA60="Muy Baja",AC60="Leve"),AND(AA60="Muy Baja",AC60="Menor"),AND(AA60="Baja",AC60="Leve")),"Bajo",IF(OR(AND(AA60="Muy baja",AC60="Moderado"),AND(AA60="Baja",AC60="Menor"),AND(AA60="Baja",AC60="Moderado"),AND(AA60="Media",AC60="Leve"),AND(AA60="Media",AC60="Menor"),AND(AA60="Media",AC60="Moderado"),AND(AA60="Alta",AC60="Leve"),AND(AA60="Alta",AC60="Menor")),"Moderado",IF(OR(AND(AA60="Muy Baja",AC60="Mayor"),AND(AA60="Baja",AC60="Mayor"),AND(AA60="Media",AC60="Mayor"),AND(AA60="Alta",AC60="Moderado"),AND(AA60="Alta",AC60="Mayor"),AND(AA60="Muy Alta",AC60="Leve"),AND(AA60="Muy Alta",AC60="Menor"),AND(AA60="Muy Alta",AC60="Moderado"),AND(AA60="Muy Alta",AC60="Mayor")),"Alto",IF(OR(AND(AA60="Muy Baja",AC60="Catastrófico"),AND(AA60="Baja",AC60="Catastrófico"),AND(AA60="Media",AC60="Catastrófico"),AND(AA60="Alta",AC60="Catastrófico"),AND(AA60="Muy Alta",AC60="Catastrófico")),"Extremo","")))),"")</f>
        <v/>
      </c>
      <c r="AF60" s="134"/>
      <c r="AG60" s="135"/>
      <c r="AH60" s="136"/>
      <c r="AI60" s="137"/>
      <c r="AJ60" s="137"/>
      <c r="AK60" s="135"/>
      <c r="AL60" s="136"/>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row>
    <row r="61" spans="1:70" ht="151.5" customHeight="1" x14ac:dyDescent="0.25">
      <c r="A61" s="213"/>
      <c r="B61" s="216"/>
      <c r="C61" s="216"/>
      <c r="D61" s="142"/>
      <c r="E61" s="216"/>
      <c r="F61" s="242"/>
      <c r="G61" s="242"/>
      <c r="H61" s="216"/>
      <c r="I61" s="245"/>
      <c r="J61" s="210"/>
      <c r="K61" s="222"/>
      <c r="L61" s="225"/>
      <c r="M61" s="222">
        <f>IF(NOT(ISERROR(MATCH(L61,_xlfn.ANCHORARRAY(E72),0))),K74&amp;"Por favor no seleccionar los criterios de impacto",L61)</f>
        <v>0</v>
      </c>
      <c r="N61" s="210"/>
      <c r="O61" s="222"/>
      <c r="P61" s="219"/>
      <c r="Q61" s="125">
        <v>3</v>
      </c>
      <c r="R61" s="138"/>
      <c r="S61" s="127" t="str">
        <f>IF(OR(T61="Preventivo",T61="Detectivo"),"Probabilidad",IF(T61="Correctivo","Impacto",""))</f>
        <v/>
      </c>
      <c r="T61" s="128"/>
      <c r="U61" s="128"/>
      <c r="V61" s="129" t="str">
        <f t="shared" si="57"/>
        <v/>
      </c>
      <c r="W61" s="128"/>
      <c r="X61" s="128"/>
      <c r="Y61" s="128"/>
      <c r="Z61" s="130" t="str">
        <f>IFERROR(IF(AND(S60="Probabilidad",S61="Probabilidad"),(AB60-(+AB60*V61)),IF(AND(S60="Impacto",S61="Probabilidad"),(AB59-(+AB59*V61)),IF(S61="Impacto",AB60,""))),"")</f>
        <v/>
      </c>
      <c r="AA61" s="131" t="str">
        <f t="shared" si="1"/>
        <v/>
      </c>
      <c r="AB61" s="132" t="str">
        <f t="shared" si="58"/>
        <v/>
      </c>
      <c r="AC61" s="131" t="str">
        <f t="shared" si="3"/>
        <v/>
      </c>
      <c r="AD61" s="140" t="str">
        <f>IFERROR(IF(AND(S60="Impacto",S61="Impacto"),(AD60-(+AD60*V61)),IF(AND(S60="Probabilidad",S61="Impacto"),(AD59-(+AD59*V61)),IF(S61="Probabilidad",AD60,""))),"")</f>
        <v/>
      </c>
      <c r="AE61" s="133" t="str">
        <f t="shared" si="59"/>
        <v/>
      </c>
      <c r="AF61" s="134"/>
      <c r="AG61" s="135"/>
      <c r="AH61" s="136"/>
      <c r="AI61" s="137"/>
      <c r="AJ61" s="137"/>
      <c r="AK61" s="135"/>
      <c r="AL61" s="136"/>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row>
    <row r="62" spans="1:70" ht="151.5" customHeight="1" x14ac:dyDescent="0.25">
      <c r="A62" s="213"/>
      <c r="B62" s="216"/>
      <c r="C62" s="216"/>
      <c r="D62" s="142"/>
      <c r="E62" s="216"/>
      <c r="F62" s="242"/>
      <c r="G62" s="242"/>
      <c r="H62" s="216"/>
      <c r="I62" s="245"/>
      <c r="J62" s="210"/>
      <c r="K62" s="222"/>
      <c r="L62" s="225"/>
      <c r="M62" s="222">
        <f>IF(NOT(ISERROR(MATCH(L62,_xlfn.ANCHORARRAY(E73),0))),K75&amp;"Por favor no seleccionar los criterios de impacto",L62)</f>
        <v>0</v>
      </c>
      <c r="N62" s="210"/>
      <c r="O62" s="222"/>
      <c r="P62" s="219"/>
      <c r="Q62" s="125">
        <v>4</v>
      </c>
      <c r="R62" s="126"/>
      <c r="S62" s="127" t="str">
        <f t="shared" ref="S62:S64" si="60">IF(OR(T62="Preventivo",T62="Detectivo"),"Probabilidad",IF(T62="Correctivo","Impacto",""))</f>
        <v/>
      </c>
      <c r="T62" s="128"/>
      <c r="U62" s="128"/>
      <c r="V62" s="129" t="str">
        <f t="shared" si="57"/>
        <v/>
      </c>
      <c r="W62" s="128"/>
      <c r="X62" s="128"/>
      <c r="Y62" s="128"/>
      <c r="Z62" s="130" t="str">
        <f t="shared" ref="Z62:Z64" si="61">IFERROR(IF(AND(S61="Probabilidad",S62="Probabilidad"),(AB61-(+AB61*V62)),IF(AND(S61="Impacto",S62="Probabilidad"),(AB60-(+AB60*V62)),IF(S62="Impacto",AB61,""))),"")</f>
        <v/>
      </c>
      <c r="AA62" s="131" t="str">
        <f t="shared" si="1"/>
        <v/>
      </c>
      <c r="AB62" s="132" t="str">
        <f t="shared" si="58"/>
        <v/>
      </c>
      <c r="AC62" s="131" t="str">
        <f t="shared" si="3"/>
        <v/>
      </c>
      <c r="AD62" s="140" t="str">
        <f t="shared" ref="AD62:AD64" si="62">IFERROR(IF(AND(S61="Impacto",S62="Impacto"),(AD61-(+AD61*V62)),IF(AND(S61="Probabilidad",S62="Impacto"),(AD60-(+AD60*V62)),IF(S62="Probabilidad",AD61,""))),"")</f>
        <v/>
      </c>
      <c r="AE62" s="133" t="str">
        <f>IFERROR(IF(OR(AND(AA62="Muy Baja",AC62="Leve"),AND(AA62="Muy Baja",AC62="Menor"),AND(AA62="Baja",AC62="Leve")),"Bajo",IF(OR(AND(AA62="Muy baja",AC62="Moderado"),AND(AA62="Baja",AC62="Menor"),AND(AA62="Baja",AC62="Moderado"),AND(AA62="Media",AC62="Leve"),AND(AA62="Media",AC62="Menor"),AND(AA62="Media",AC62="Moderado"),AND(AA62="Alta",AC62="Leve"),AND(AA62="Alta",AC62="Menor")),"Moderado",IF(OR(AND(AA62="Muy Baja",AC62="Mayor"),AND(AA62="Baja",AC62="Mayor"),AND(AA62="Media",AC62="Mayor"),AND(AA62="Alta",AC62="Moderado"),AND(AA62="Alta",AC62="Mayor"),AND(AA62="Muy Alta",AC62="Leve"),AND(AA62="Muy Alta",AC62="Menor"),AND(AA62="Muy Alta",AC62="Moderado"),AND(AA62="Muy Alta",AC62="Mayor")),"Alto",IF(OR(AND(AA62="Muy Baja",AC62="Catastrófico"),AND(AA62="Baja",AC62="Catastrófico"),AND(AA62="Media",AC62="Catastrófico"),AND(AA62="Alta",AC62="Catastrófico"),AND(AA62="Muy Alta",AC62="Catastrófico")),"Extremo","")))),"")</f>
        <v/>
      </c>
      <c r="AF62" s="134"/>
      <c r="AG62" s="135"/>
      <c r="AH62" s="136"/>
      <c r="AI62" s="137"/>
      <c r="AJ62" s="137"/>
      <c r="AK62" s="135"/>
      <c r="AL62" s="136"/>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row>
    <row r="63" spans="1:70" ht="151.5" customHeight="1" x14ac:dyDescent="0.25">
      <c r="A63" s="213"/>
      <c r="B63" s="216"/>
      <c r="C63" s="216"/>
      <c r="D63" s="142"/>
      <c r="E63" s="216"/>
      <c r="F63" s="242"/>
      <c r="G63" s="242"/>
      <c r="H63" s="216"/>
      <c r="I63" s="245"/>
      <c r="J63" s="210"/>
      <c r="K63" s="222"/>
      <c r="L63" s="225"/>
      <c r="M63" s="222">
        <f>IF(NOT(ISERROR(MATCH(L63,_xlfn.ANCHORARRAY(E74),0))),K76&amp;"Por favor no seleccionar los criterios de impacto",L63)</f>
        <v>0</v>
      </c>
      <c r="N63" s="210"/>
      <c r="O63" s="222"/>
      <c r="P63" s="219"/>
      <c r="Q63" s="125">
        <v>5</v>
      </c>
      <c r="R63" s="126"/>
      <c r="S63" s="127" t="str">
        <f t="shared" si="60"/>
        <v/>
      </c>
      <c r="T63" s="128"/>
      <c r="U63" s="128"/>
      <c r="V63" s="129" t="str">
        <f t="shared" si="57"/>
        <v/>
      </c>
      <c r="W63" s="128"/>
      <c r="X63" s="128"/>
      <c r="Y63" s="128"/>
      <c r="Z63" s="130" t="str">
        <f t="shared" si="61"/>
        <v/>
      </c>
      <c r="AA63" s="131" t="str">
        <f t="shared" si="1"/>
        <v/>
      </c>
      <c r="AB63" s="132" t="str">
        <f t="shared" si="58"/>
        <v/>
      </c>
      <c r="AC63" s="131" t="str">
        <f t="shared" si="3"/>
        <v/>
      </c>
      <c r="AD63" s="140" t="str">
        <f t="shared" si="62"/>
        <v/>
      </c>
      <c r="AE63" s="133" t="str">
        <f t="shared" ref="AE63:AE64" si="63">IFERROR(IF(OR(AND(AA63="Muy Baja",AC63="Leve"),AND(AA63="Muy Baja",AC63="Menor"),AND(AA63="Baja",AC63="Leve")),"Bajo",IF(OR(AND(AA63="Muy baja",AC63="Moderado"),AND(AA63="Baja",AC63="Menor"),AND(AA63="Baja",AC63="Moderado"),AND(AA63="Media",AC63="Leve"),AND(AA63="Media",AC63="Menor"),AND(AA63="Media",AC63="Moderado"),AND(AA63="Alta",AC63="Leve"),AND(AA63="Alta",AC63="Menor")),"Moderado",IF(OR(AND(AA63="Muy Baja",AC63="Mayor"),AND(AA63="Baja",AC63="Mayor"),AND(AA63="Media",AC63="Mayor"),AND(AA63="Alta",AC63="Moderado"),AND(AA63="Alta",AC63="Mayor"),AND(AA63="Muy Alta",AC63="Leve"),AND(AA63="Muy Alta",AC63="Menor"),AND(AA63="Muy Alta",AC63="Moderado"),AND(AA63="Muy Alta",AC63="Mayor")),"Alto",IF(OR(AND(AA63="Muy Baja",AC63="Catastrófico"),AND(AA63="Baja",AC63="Catastrófico"),AND(AA63="Media",AC63="Catastrófico"),AND(AA63="Alta",AC63="Catastrófico"),AND(AA63="Muy Alta",AC63="Catastrófico")),"Extremo","")))),"")</f>
        <v/>
      </c>
      <c r="AF63" s="134"/>
      <c r="AG63" s="135"/>
      <c r="AH63" s="136"/>
      <c r="AI63" s="137"/>
      <c r="AJ63" s="137"/>
      <c r="AK63" s="135"/>
      <c r="AL63" s="136"/>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row>
    <row r="64" spans="1:70" ht="151.5" customHeight="1" x14ac:dyDescent="0.25">
      <c r="A64" s="214"/>
      <c r="B64" s="217"/>
      <c r="C64" s="217"/>
      <c r="D64" s="143"/>
      <c r="E64" s="217"/>
      <c r="F64" s="243"/>
      <c r="G64" s="243"/>
      <c r="H64" s="217"/>
      <c r="I64" s="246"/>
      <c r="J64" s="211"/>
      <c r="K64" s="223"/>
      <c r="L64" s="226"/>
      <c r="M64" s="223">
        <f>IF(NOT(ISERROR(MATCH(L64,_xlfn.ANCHORARRAY(E75),0))),K77&amp;"Por favor no seleccionar los criterios de impacto",L64)</f>
        <v>0</v>
      </c>
      <c r="N64" s="211"/>
      <c r="O64" s="223"/>
      <c r="P64" s="220"/>
      <c r="Q64" s="125">
        <v>6</v>
      </c>
      <c r="R64" s="126"/>
      <c r="S64" s="127" t="str">
        <f t="shared" si="60"/>
        <v/>
      </c>
      <c r="T64" s="128"/>
      <c r="U64" s="128"/>
      <c r="V64" s="129" t="str">
        <f t="shared" si="57"/>
        <v/>
      </c>
      <c r="W64" s="128"/>
      <c r="X64" s="128"/>
      <c r="Y64" s="128"/>
      <c r="Z64" s="130" t="str">
        <f t="shared" si="61"/>
        <v/>
      </c>
      <c r="AA64" s="131" t="str">
        <f t="shared" si="1"/>
        <v/>
      </c>
      <c r="AB64" s="132" t="str">
        <f t="shared" si="58"/>
        <v/>
      </c>
      <c r="AC64" s="131" t="str">
        <f t="shared" si="3"/>
        <v/>
      </c>
      <c r="AD64" s="140" t="str">
        <f t="shared" si="62"/>
        <v/>
      </c>
      <c r="AE64" s="133" t="str">
        <f t="shared" si="63"/>
        <v/>
      </c>
      <c r="AF64" s="134"/>
      <c r="AG64" s="135"/>
      <c r="AH64" s="136"/>
      <c r="AI64" s="137"/>
      <c r="AJ64" s="137"/>
      <c r="AK64" s="135"/>
      <c r="AL64" s="136"/>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row>
    <row r="65" spans="1:70" ht="151.5" customHeight="1" x14ac:dyDescent="0.25">
      <c r="A65" s="212">
        <v>10</v>
      </c>
      <c r="B65" s="215"/>
      <c r="C65" s="215"/>
      <c r="D65" s="141"/>
      <c r="E65" s="215"/>
      <c r="F65" s="241"/>
      <c r="G65" s="241"/>
      <c r="H65" s="215"/>
      <c r="I65" s="244"/>
      <c r="J65" s="209" t="str">
        <f>IF(I65&lt;=0,"",IF(I65&lt;=2,"Muy Baja",IF(I65&lt;=24,"Baja",IF(I65&lt;=500,"Media",IF(I65&lt;=5000,"Alta","Muy Alta")))))</f>
        <v/>
      </c>
      <c r="K65" s="221" t="str">
        <f>IF(J65="","",IF(J65="Muy Baja",0.2,IF(J65="Baja",0.4,IF(J65="Media",0.6,IF(J65="Alta",0.8,IF(J65="Muy Alta",1,))))))</f>
        <v/>
      </c>
      <c r="L65" s="224"/>
      <c r="M65" s="221">
        <f>IF(NOT(ISERROR(MATCH(L65,'Tabla Impacto'!$B$221:$B$223,0))),'Tabla Impacto'!$F$223&amp;"Por favor no seleccionar los criterios de impacto(Afectación Económica o presupuestal y Pérdida Reputacional)",L65)</f>
        <v>0</v>
      </c>
      <c r="N65" s="209" t="str">
        <f>IF(OR(M65='Tabla Impacto'!$C$11,M65='Tabla Impacto'!$D$11),"Leve",IF(OR(M65='Tabla Impacto'!$C$12,M65='Tabla Impacto'!$D$12),"Menor",IF(OR(M65='Tabla Impacto'!$C$13,M65='Tabla Impacto'!$D$13),"Moderado",IF(OR(M65='Tabla Impacto'!$C$14,M65='Tabla Impacto'!$D$14),"Mayor",IF(OR(M65='Tabla Impacto'!$C$15,M65='Tabla Impacto'!$D$15),"Catastrófico","")))))</f>
        <v/>
      </c>
      <c r="O65" s="221" t="str">
        <f>IF(N65="","",IF(N65="Leve",0.2,IF(N65="Menor",0.4,IF(N65="Moderado",0.6,IF(N65="Mayor",0.8,IF(N65="Catastrófico",1,))))))</f>
        <v/>
      </c>
      <c r="P65" s="218" t="str">
        <f>IF(OR(AND(J65="Muy Baja",N65="Leve"),AND(J65="Muy Baja",N65="Menor"),AND(J65="Baja",N65="Leve")),"Bajo",IF(OR(AND(J65="Muy baja",N65="Moderado"),AND(J65="Baja",N65="Menor"),AND(J65="Baja",N65="Moderado"),AND(J65="Media",N65="Leve"),AND(J65="Media",N65="Menor"),AND(J65="Media",N65="Moderado"),AND(J65="Alta",N65="Leve"),AND(J65="Alta",N65="Menor")),"Moderado",IF(OR(AND(J65="Muy Baja",N65="Mayor"),AND(J65="Baja",N65="Mayor"),AND(J65="Media",N65="Mayor"),AND(J65="Alta",N65="Moderado"),AND(J65="Alta",N65="Mayor"),AND(J65="Muy Alta",N65="Leve"),AND(J65="Muy Alta",N65="Menor"),AND(J65="Muy Alta",N65="Moderado"),AND(J65="Muy Alta",N65="Mayor")),"Alto",IF(OR(AND(J65="Muy Baja",N65="Catastrófico"),AND(J65="Baja",N65="Catastrófico"),AND(J65="Media",N65="Catastrófico"),AND(J65="Alta",N65="Catastrófico"),AND(J65="Muy Alta",N65="Catastrófico")),"Extremo",""))))</f>
        <v/>
      </c>
      <c r="Q65" s="125">
        <v>1</v>
      </c>
      <c r="R65" s="126"/>
      <c r="S65" s="127" t="str">
        <f>IF(OR(T65="Preventivo",T65="Detectivo"),"Probabilidad",IF(T65="Correctivo","Impacto",""))</f>
        <v/>
      </c>
      <c r="T65" s="128"/>
      <c r="U65" s="128"/>
      <c r="V65" s="129" t="str">
        <f>IF(AND(T65="Preventivo",U65="Automático"),"50%",IF(AND(T65="Preventivo",U65="Manual"),"40%",IF(AND(T65="Detectivo",U65="Automático"),"40%",IF(AND(T65="Detectivo",U65="Manual"),"30%",IF(AND(T65="Correctivo",U65="Automático"),"35%",IF(AND(T65="Correctivo",U65="Manual"),"25%",""))))))</f>
        <v/>
      </c>
      <c r="W65" s="128"/>
      <c r="X65" s="128"/>
      <c r="Y65" s="128"/>
      <c r="Z65" s="130" t="str">
        <f>IFERROR(IF(S65="Probabilidad",(K65-(+K65*V65)),IF(S65="Impacto",K65,"")),"")</f>
        <v/>
      </c>
      <c r="AA65" s="131" t="str">
        <f>IFERROR(IF(Z65="","",IF(Z65&lt;=0.2,"Muy Baja",IF(Z65&lt;=0.4,"Baja",IF(Z65&lt;=0.6,"Media",IF(Z65&lt;=0.8,"Alta","Muy Alta"))))),"")</f>
        <v/>
      </c>
      <c r="AB65" s="132" t="str">
        <f>+Z65</f>
        <v/>
      </c>
      <c r="AC65" s="131" t="str">
        <f>IFERROR(IF(AD65="","",IF(AD65&lt;=0.2,"Leve",IF(AD65&lt;=0.4,"Menor",IF(AD65&lt;=0.6,"Moderado",IF(AD65&lt;=0.8,"Mayor","Catastrófico"))))),"")</f>
        <v/>
      </c>
      <c r="AD65" s="140" t="str">
        <f>IFERROR(IF(S65="Impacto",(O65-(+O65*V65)),IF(S65="Probabilidad",O65,"")),"")</f>
        <v/>
      </c>
      <c r="AE65" s="133" t="str">
        <f>IFERROR(IF(OR(AND(AA65="Muy Baja",AC65="Leve"),AND(AA65="Muy Baja",AC65="Menor"),AND(AA65="Baja",AC65="Leve")),"Bajo",IF(OR(AND(AA65="Muy baja",AC65="Moderado"),AND(AA65="Baja",AC65="Menor"),AND(AA65="Baja",AC65="Moderado"),AND(AA65="Media",AC65="Leve"),AND(AA65="Media",AC65="Menor"),AND(AA65="Media",AC65="Moderado"),AND(AA65="Alta",AC65="Leve"),AND(AA65="Alta",AC65="Menor")),"Moderado",IF(OR(AND(AA65="Muy Baja",AC65="Mayor"),AND(AA65="Baja",AC65="Mayor"),AND(AA65="Media",AC65="Mayor"),AND(AA65="Alta",AC65="Moderado"),AND(AA65="Alta",AC65="Mayor"),AND(AA65="Muy Alta",AC65="Leve"),AND(AA65="Muy Alta",AC65="Menor"),AND(AA65="Muy Alta",AC65="Moderado"),AND(AA65="Muy Alta",AC65="Mayor")),"Alto",IF(OR(AND(AA65="Muy Baja",AC65="Catastrófico"),AND(AA65="Baja",AC65="Catastrófico"),AND(AA65="Media",AC65="Catastrófico"),AND(AA65="Alta",AC65="Catastrófico"),AND(AA65="Muy Alta",AC65="Catastrófico")),"Extremo","")))),"")</f>
        <v/>
      </c>
      <c r="AF65" s="134"/>
      <c r="AG65" s="135"/>
      <c r="AH65" s="136"/>
      <c r="AI65" s="137"/>
      <c r="AJ65" s="137"/>
      <c r="AK65" s="135"/>
      <c r="AL65" s="136"/>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row>
    <row r="66" spans="1:70" ht="151.5" customHeight="1" x14ac:dyDescent="0.25">
      <c r="A66" s="213"/>
      <c r="B66" s="216"/>
      <c r="C66" s="216"/>
      <c r="D66" s="142"/>
      <c r="E66" s="216"/>
      <c r="F66" s="242"/>
      <c r="G66" s="242"/>
      <c r="H66" s="216"/>
      <c r="I66" s="245"/>
      <c r="J66" s="210"/>
      <c r="K66" s="222"/>
      <c r="L66" s="225"/>
      <c r="M66" s="222">
        <f>IF(NOT(ISERROR(MATCH(L66,_xlfn.ANCHORARRAY(E77),0))),K79&amp;"Por favor no seleccionar los criterios de impacto",L66)</f>
        <v>0</v>
      </c>
      <c r="N66" s="210"/>
      <c r="O66" s="222"/>
      <c r="P66" s="219"/>
      <c r="Q66" s="125">
        <v>2</v>
      </c>
      <c r="R66" s="126"/>
      <c r="S66" s="127" t="str">
        <f>IF(OR(T66="Preventivo",T66="Detectivo"),"Probabilidad",IF(T66="Correctivo","Impacto",""))</f>
        <v/>
      </c>
      <c r="T66" s="128"/>
      <c r="U66" s="128"/>
      <c r="V66" s="129" t="str">
        <f t="shared" ref="V66:V70" si="64">IF(AND(T66="Preventivo",U66="Automático"),"50%",IF(AND(T66="Preventivo",U66="Manual"),"40%",IF(AND(T66="Detectivo",U66="Automático"),"40%",IF(AND(T66="Detectivo",U66="Manual"),"30%",IF(AND(T66="Correctivo",U66="Automático"),"35%",IF(AND(T66="Correctivo",U66="Manual"),"25%",""))))))</f>
        <v/>
      </c>
      <c r="W66" s="128"/>
      <c r="X66" s="128"/>
      <c r="Y66" s="128"/>
      <c r="Z66" s="130" t="str">
        <f>IFERROR(IF(AND(S65="Probabilidad",S66="Probabilidad"),(AB65-(+AB65*V66)),IF(S66="Probabilidad",(K65-(+K65*V66)),IF(S66="Impacto",AB65,""))),"")</f>
        <v/>
      </c>
      <c r="AA66" s="131" t="str">
        <f t="shared" si="1"/>
        <v/>
      </c>
      <c r="AB66" s="132" t="str">
        <f t="shared" ref="AB66:AB70" si="65">+Z66</f>
        <v/>
      </c>
      <c r="AC66" s="131" t="str">
        <f t="shared" si="3"/>
        <v/>
      </c>
      <c r="AD66" s="140" t="str">
        <f>IFERROR(IF(AND(S65="Impacto",S66="Impacto"),(AD65-(+AD65*V66)),IF(S66="Impacto",(O65-(+O65*V66)),IF(S66="Probabilidad",AD65,""))),"")</f>
        <v/>
      </c>
      <c r="AE66" s="133" t="str">
        <f t="shared" ref="AE66:AE67" si="66">IFERROR(IF(OR(AND(AA66="Muy Baja",AC66="Leve"),AND(AA66="Muy Baja",AC66="Menor"),AND(AA66="Baja",AC66="Leve")),"Bajo",IF(OR(AND(AA66="Muy baja",AC66="Moderado"),AND(AA66="Baja",AC66="Menor"),AND(AA66="Baja",AC66="Moderado"),AND(AA66="Media",AC66="Leve"),AND(AA66="Media",AC66="Menor"),AND(AA66="Media",AC66="Moderado"),AND(AA66="Alta",AC66="Leve"),AND(AA66="Alta",AC66="Menor")),"Moderado",IF(OR(AND(AA66="Muy Baja",AC66="Mayor"),AND(AA66="Baja",AC66="Mayor"),AND(AA66="Media",AC66="Mayor"),AND(AA66="Alta",AC66="Moderado"),AND(AA66="Alta",AC66="Mayor"),AND(AA66="Muy Alta",AC66="Leve"),AND(AA66="Muy Alta",AC66="Menor"),AND(AA66="Muy Alta",AC66="Moderado"),AND(AA66="Muy Alta",AC66="Mayor")),"Alto",IF(OR(AND(AA66="Muy Baja",AC66="Catastrófico"),AND(AA66="Baja",AC66="Catastrófico"),AND(AA66="Media",AC66="Catastrófico"),AND(AA66="Alta",AC66="Catastrófico"),AND(AA66="Muy Alta",AC66="Catastrófico")),"Extremo","")))),"")</f>
        <v/>
      </c>
      <c r="AF66" s="134"/>
      <c r="AG66" s="135"/>
      <c r="AH66" s="136"/>
      <c r="AI66" s="137"/>
      <c r="AJ66" s="137"/>
      <c r="AK66" s="135"/>
      <c r="AL66" s="136"/>
    </row>
    <row r="67" spans="1:70" ht="151.5" customHeight="1" x14ac:dyDescent="0.25">
      <c r="A67" s="213"/>
      <c r="B67" s="216"/>
      <c r="C67" s="216"/>
      <c r="D67" s="142"/>
      <c r="E67" s="216"/>
      <c r="F67" s="242"/>
      <c r="G67" s="242"/>
      <c r="H67" s="216"/>
      <c r="I67" s="245"/>
      <c r="J67" s="210"/>
      <c r="K67" s="222"/>
      <c r="L67" s="225"/>
      <c r="M67" s="222">
        <f>IF(NOT(ISERROR(MATCH(L67,_xlfn.ANCHORARRAY(E78),0))),K80&amp;"Por favor no seleccionar los criterios de impacto",L67)</f>
        <v>0</v>
      </c>
      <c r="N67" s="210"/>
      <c r="O67" s="222"/>
      <c r="P67" s="219"/>
      <c r="Q67" s="125">
        <v>3</v>
      </c>
      <c r="R67" s="138"/>
      <c r="S67" s="127" t="str">
        <f>IF(OR(T67="Preventivo",T67="Detectivo"),"Probabilidad",IF(T67="Correctivo","Impacto",""))</f>
        <v/>
      </c>
      <c r="T67" s="128"/>
      <c r="U67" s="128"/>
      <c r="V67" s="129" t="str">
        <f t="shared" si="64"/>
        <v/>
      </c>
      <c r="W67" s="128"/>
      <c r="X67" s="128"/>
      <c r="Y67" s="128"/>
      <c r="Z67" s="130" t="str">
        <f>IFERROR(IF(AND(S66="Probabilidad",S67="Probabilidad"),(AB66-(+AB66*V67)),IF(AND(S66="Impacto",S67="Probabilidad"),(AB65-(+AB65*V67)),IF(S67="Impacto",AB66,""))),"")</f>
        <v/>
      </c>
      <c r="AA67" s="131" t="str">
        <f t="shared" si="1"/>
        <v/>
      </c>
      <c r="AB67" s="132" t="str">
        <f t="shared" si="65"/>
        <v/>
      </c>
      <c r="AC67" s="131" t="str">
        <f t="shared" si="3"/>
        <v/>
      </c>
      <c r="AD67" s="140" t="str">
        <f>IFERROR(IF(AND(S66="Impacto",S67="Impacto"),(AD66-(+AD66*V67)),IF(AND(S66="Probabilidad",S67="Impacto"),(AD65-(+AD65*V67)),IF(S67="Probabilidad",AD66,""))),"")</f>
        <v/>
      </c>
      <c r="AE67" s="133" t="str">
        <f t="shared" si="66"/>
        <v/>
      </c>
      <c r="AF67" s="134"/>
      <c r="AG67" s="135"/>
      <c r="AH67" s="136"/>
      <c r="AI67" s="137"/>
      <c r="AJ67" s="137"/>
      <c r="AK67" s="135"/>
      <c r="AL67" s="136"/>
    </row>
    <row r="68" spans="1:70" ht="151.5" customHeight="1" x14ac:dyDescent="0.25">
      <c r="A68" s="213"/>
      <c r="B68" s="216"/>
      <c r="C68" s="216"/>
      <c r="D68" s="142"/>
      <c r="E68" s="216"/>
      <c r="F68" s="242"/>
      <c r="G68" s="242"/>
      <c r="H68" s="216"/>
      <c r="I68" s="245"/>
      <c r="J68" s="210"/>
      <c r="K68" s="222"/>
      <c r="L68" s="225"/>
      <c r="M68" s="222">
        <f>IF(NOT(ISERROR(MATCH(L68,_xlfn.ANCHORARRAY(E79),0))),K81&amp;"Por favor no seleccionar los criterios de impacto",L68)</f>
        <v>0</v>
      </c>
      <c r="N68" s="210"/>
      <c r="O68" s="222"/>
      <c r="P68" s="219"/>
      <c r="Q68" s="125">
        <v>4</v>
      </c>
      <c r="R68" s="126"/>
      <c r="S68" s="127" t="str">
        <f t="shared" ref="S68:S70" si="67">IF(OR(T68="Preventivo",T68="Detectivo"),"Probabilidad",IF(T68="Correctivo","Impacto",""))</f>
        <v/>
      </c>
      <c r="T68" s="128"/>
      <c r="U68" s="128"/>
      <c r="V68" s="129" t="str">
        <f t="shared" si="64"/>
        <v/>
      </c>
      <c r="W68" s="128"/>
      <c r="X68" s="128"/>
      <c r="Y68" s="128"/>
      <c r="Z68" s="130" t="str">
        <f t="shared" ref="Z68:Z70" si="68">IFERROR(IF(AND(S67="Probabilidad",S68="Probabilidad"),(AB67-(+AB67*V68)),IF(AND(S67="Impacto",S68="Probabilidad"),(AB66-(+AB66*V68)),IF(S68="Impacto",AB67,""))),"")</f>
        <v/>
      </c>
      <c r="AA68" s="131" t="str">
        <f t="shared" si="1"/>
        <v/>
      </c>
      <c r="AB68" s="132" t="str">
        <f t="shared" si="65"/>
        <v/>
      </c>
      <c r="AC68" s="131" t="str">
        <f t="shared" si="3"/>
        <v/>
      </c>
      <c r="AD68" s="140" t="str">
        <f t="shared" ref="AD68:AD70" si="69">IFERROR(IF(AND(S67="Impacto",S68="Impacto"),(AD67-(+AD67*V68)),IF(AND(S67="Probabilidad",S68="Impacto"),(AD66-(+AD66*V68)),IF(S68="Probabilidad",AD67,""))),"")</f>
        <v/>
      </c>
      <c r="AE68" s="133" t="str">
        <f>IFERROR(IF(OR(AND(AA68="Muy Baja",AC68="Leve"),AND(AA68="Muy Baja",AC68="Menor"),AND(AA68="Baja",AC68="Leve")),"Bajo",IF(OR(AND(AA68="Muy baja",AC68="Moderado"),AND(AA68="Baja",AC68="Menor"),AND(AA68="Baja",AC68="Moderado"),AND(AA68="Media",AC68="Leve"),AND(AA68="Media",AC68="Menor"),AND(AA68="Media",AC68="Moderado"),AND(AA68="Alta",AC68="Leve"),AND(AA68="Alta",AC68="Menor")),"Moderado",IF(OR(AND(AA68="Muy Baja",AC68="Mayor"),AND(AA68="Baja",AC68="Mayor"),AND(AA68="Media",AC68="Mayor"),AND(AA68="Alta",AC68="Moderado"),AND(AA68="Alta",AC68="Mayor"),AND(AA68="Muy Alta",AC68="Leve"),AND(AA68="Muy Alta",AC68="Menor"),AND(AA68="Muy Alta",AC68="Moderado"),AND(AA68="Muy Alta",AC68="Mayor")),"Alto",IF(OR(AND(AA68="Muy Baja",AC68="Catastrófico"),AND(AA68="Baja",AC68="Catastrófico"),AND(AA68="Media",AC68="Catastrófico"),AND(AA68="Alta",AC68="Catastrófico"),AND(AA68="Muy Alta",AC68="Catastrófico")),"Extremo","")))),"")</f>
        <v/>
      </c>
      <c r="AF68" s="134"/>
      <c r="AG68" s="135"/>
      <c r="AH68" s="136"/>
      <c r="AI68" s="137"/>
      <c r="AJ68" s="137"/>
      <c r="AK68" s="135"/>
      <c r="AL68" s="136"/>
    </row>
    <row r="69" spans="1:70" ht="151.5" customHeight="1" x14ac:dyDescent="0.25">
      <c r="A69" s="213"/>
      <c r="B69" s="216"/>
      <c r="C69" s="216"/>
      <c r="D69" s="142"/>
      <c r="E69" s="216"/>
      <c r="F69" s="242"/>
      <c r="G69" s="242"/>
      <c r="H69" s="216"/>
      <c r="I69" s="245"/>
      <c r="J69" s="210"/>
      <c r="K69" s="222"/>
      <c r="L69" s="225"/>
      <c r="M69" s="222">
        <f>IF(NOT(ISERROR(MATCH(L69,_xlfn.ANCHORARRAY(E80),0))),K82&amp;"Por favor no seleccionar los criterios de impacto",L69)</f>
        <v>0</v>
      </c>
      <c r="N69" s="210"/>
      <c r="O69" s="222"/>
      <c r="P69" s="219"/>
      <c r="Q69" s="125">
        <v>5</v>
      </c>
      <c r="R69" s="126"/>
      <c r="S69" s="127" t="str">
        <f t="shared" si="67"/>
        <v/>
      </c>
      <c r="T69" s="128"/>
      <c r="U69" s="128"/>
      <c r="V69" s="129" t="str">
        <f t="shared" si="64"/>
        <v/>
      </c>
      <c r="W69" s="128"/>
      <c r="X69" s="128"/>
      <c r="Y69" s="128"/>
      <c r="Z69" s="130" t="str">
        <f t="shared" si="68"/>
        <v/>
      </c>
      <c r="AA69" s="131" t="str">
        <f t="shared" si="1"/>
        <v/>
      </c>
      <c r="AB69" s="132" t="str">
        <f t="shared" si="65"/>
        <v/>
      </c>
      <c r="AC69" s="131" t="str">
        <f t="shared" si="3"/>
        <v/>
      </c>
      <c r="AD69" s="140" t="str">
        <f t="shared" si="69"/>
        <v/>
      </c>
      <c r="AE69" s="133" t="str">
        <f t="shared" ref="AE69:AE70" si="70">IFERROR(IF(OR(AND(AA69="Muy Baja",AC69="Leve"),AND(AA69="Muy Baja",AC69="Menor"),AND(AA69="Baja",AC69="Leve")),"Bajo",IF(OR(AND(AA69="Muy baja",AC69="Moderado"),AND(AA69="Baja",AC69="Menor"),AND(AA69="Baja",AC69="Moderado"),AND(AA69="Media",AC69="Leve"),AND(AA69="Media",AC69="Menor"),AND(AA69="Media",AC69="Moderado"),AND(AA69="Alta",AC69="Leve"),AND(AA69="Alta",AC69="Menor")),"Moderado",IF(OR(AND(AA69="Muy Baja",AC69="Mayor"),AND(AA69="Baja",AC69="Mayor"),AND(AA69="Media",AC69="Mayor"),AND(AA69="Alta",AC69="Moderado"),AND(AA69="Alta",AC69="Mayor"),AND(AA69="Muy Alta",AC69="Leve"),AND(AA69="Muy Alta",AC69="Menor"),AND(AA69="Muy Alta",AC69="Moderado"),AND(AA69="Muy Alta",AC69="Mayor")),"Alto",IF(OR(AND(AA69="Muy Baja",AC69="Catastrófico"),AND(AA69="Baja",AC69="Catastrófico"),AND(AA69="Media",AC69="Catastrófico"),AND(AA69="Alta",AC69="Catastrófico"),AND(AA69="Muy Alta",AC69="Catastrófico")),"Extremo","")))),"")</f>
        <v/>
      </c>
      <c r="AF69" s="134"/>
      <c r="AG69" s="135"/>
      <c r="AH69" s="136"/>
      <c r="AI69" s="137"/>
      <c r="AJ69" s="137"/>
      <c r="AK69" s="135"/>
      <c r="AL69" s="136"/>
    </row>
    <row r="70" spans="1:70" ht="151.5" customHeight="1" x14ac:dyDescent="0.25">
      <c r="A70" s="214"/>
      <c r="B70" s="217"/>
      <c r="C70" s="217"/>
      <c r="D70" s="143"/>
      <c r="E70" s="217"/>
      <c r="F70" s="243"/>
      <c r="G70" s="243"/>
      <c r="H70" s="217"/>
      <c r="I70" s="246"/>
      <c r="J70" s="211"/>
      <c r="K70" s="223"/>
      <c r="L70" s="226"/>
      <c r="M70" s="223">
        <f>IF(NOT(ISERROR(MATCH(L70,_xlfn.ANCHORARRAY(E81),0))),K83&amp;"Por favor no seleccionar los criterios de impacto",L70)</f>
        <v>0</v>
      </c>
      <c r="N70" s="211"/>
      <c r="O70" s="223"/>
      <c r="P70" s="220"/>
      <c r="Q70" s="125">
        <v>6</v>
      </c>
      <c r="R70" s="126"/>
      <c r="S70" s="127" t="str">
        <f t="shared" si="67"/>
        <v/>
      </c>
      <c r="T70" s="128"/>
      <c r="U70" s="128"/>
      <c r="V70" s="129" t="str">
        <f t="shared" si="64"/>
        <v/>
      </c>
      <c r="W70" s="128"/>
      <c r="X70" s="128"/>
      <c r="Y70" s="128"/>
      <c r="Z70" s="130" t="str">
        <f t="shared" si="68"/>
        <v/>
      </c>
      <c r="AA70" s="131" t="str">
        <f t="shared" si="1"/>
        <v/>
      </c>
      <c r="AB70" s="132" t="str">
        <f t="shared" si="65"/>
        <v/>
      </c>
      <c r="AC70" s="131" t="str">
        <f t="shared" si="3"/>
        <v/>
      </c>
      <c r="AD70" s="140" t="str">
        <f t="shared" si="69"/>
        <v/>
      </c>
      <c r="AE70" s="133" t="str">
        <f t="shared" si="70"/>
        <v/>
      </c>
      <c r="AF70" s="134"/>
      <c r="AG70" s="135"/>
      <c r="AH70" s="136"/>
      <c r="AI70" s="137"/>
      <c r="AJ70" s="137"/>
      <c r="AK70" s="135"/>
      <c r="AL70" s="136"/>
    </row>
    <row r="71" spans="1:70" ht="49.5" customHeight="1" x14ac:dyDescent="0.25">
      <c r="A71" s="6"/>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8"/>
    </row>
    <row r="73" spans="1:70" x14ac:dyDescent="0.25">
      <c r="A73" s="1"/>
      <c r="B73" s="24"/>
      <c r="C73" s="1"/>
      <c r="D73" s="1"/>
      <c r="F73" s="1"/>
      <c r="G73" s="1"/>
      <c r="H73" s="1"/>
    </row>
  </sheetData>
  <dataConsolidate/>
  <mergeCells count="200">
    <mergeCell ref="P47:P52"/>
    <mergeCell ref="H53:H58"/>
    <mergeCell ref="I53:I58"/>
    <mergeCell ref="J53:J58"/>
    <mergeCell ref="K53:K58"/>
    <mergeCell ref="L53:L58"/>
    <mergeCell ref="H47:H52"/>
    <mergeCell ref="I47:I52"/>
    <mergeCell ref="J47:J52"/>
    <mergeCell ref="K47:K52"/>
    <mergeCell ref="M53:M58"/>
    <mergeCell ref="N53:N58"/>
    <mergeCell ref="O53:O58"/>
    <mergeCell ref="P53:P58"/>
    <mergeCell ref="Q4:S4"/>
    <mergeCell ref="A1:AL2"/>
    <mergeCell ref="A8:I8"/>
    <mergeCell ref="J8:P8"/>
    <mergeCell ref="Q8:Y8"/>
    <mergeCell ref="Z8:AF8"/>
    <mergeCell ref="AG8:AL8"/>
    <mergeCell ref="AG9:AG10"/>
    <mergeCell ref="AL9:AL10"/>
    <mergeCell ref="AK9:AK10"/>
    <mergeCell ref="AJ9:AJ10"/>
    <mergeCell ref="AI9:AI10"/>
    <mergeCell ref="AH9:AH10"/>
    <mergeCell ref="A6:B6"/>
    <mergeCell ref="A7:B7"/>
    <mergeCell ref="A9:A10"/>
    <mergeCell ref="H9:H10"/>
    <mergeCell ref="G9:G10"/>
    <mergeCell ref="E9:E10"/>
    <mergeCell ref="A59:A64"/>
    <mergeCell ref="B59:B64"/>
    <mergeCell ref="E59:E64"/>
    <mergeCell ref="G59:G64"/>
    <mergeCell ref="H59:H64"/>
    <mergeCell ref="Q5:S5"/>
    <mergeCell ref="B9:B10"/>
    <mergeCell ref="D9:D10"/>
    <mergeCell ref="F9:F10"/>
    <mergeCell ref="C9:C10"/>
    <mergeCell ref="F17:F22"/>
    <mergeCell ref="F23:F28"/>
    <mergeCell ref="F29:F34"/>
    <mergeCell ref="F35:F40"/>
    <mergeCell ref="F41:F46"/>
    <mergeCell ref="F47:F52"/>
    <mergeCell ref="F53:F58"/>
    <mergeCell ref="F59:F64"/>
    <mergeCell ref="C17:C22"/>
    <mergeCell ref="C23:C28"/>
    <mergeCell ref="C29:C34"/>
    <mergeCell ref="C35:C40"/>
    <mergeCell ref="C41:C46"/>
    <mergeCell ref="C47:C52"/>
    <mergeCell ref="A65:A70"/>
    <mergeCell ref="B65:B70"/>
    <mergeCell ref="E65:E70"/>
    <mergeCell ref="G65:G70"/>
    <mergeCell ref="H65:H70"/>
    <mergeCell ref="I65:I70"/>
    <mergeCell ref="J65:J70"/>
    <mergeCell ref="K65:K70"/>
    <mergeCell ref="L65:L70"/>
    <mergeCell ref="C65:C70"/>
    <mergeCell ref="F65:F70"/>
    <mergeCell ref="I41:I46"/>
    <mergeCell ref="J41:J46"/>
    <mergeCell ref="K41:K46"/>
    <mergeCell ref="M35:M40"/>
    <mergeCell ref="N35:N40"/>
    <mergeCell ref="P35:P40"/>
    <mergeCell ref="P41:P46"/>
    <mergeCell ref="N41:N46"/>
    <mergeCell ref="B71:AL71"/>
    <mergeCell ref="O59:O64"/>
    <mergeCell ref="P59:P64"/>
    <mergeCell ref="M65:M70"/>
    <mergeCell ref="N65:N70"/>
    <mergeCell ref="O65:O70"/>
    <mergeCell ref="P65:P70"/>
    <mergeCell ref="L59:L64"/>
    <mergeCell ref="M59:M64"/>
    <mergeCell ref="N59:N64"/>
    <mergeCell ref="C53:C58"/>
    <mergeCell ref="C59:C64"/>
    <mergeCell ref="I59:I64"/>
    <mergeCell ref="J59:J64"/>
    <mergeCell ref="K59:K64"/>
    <mergeCell ref="O47:O52"/>
    <mergeCell ref="A53:A58"/>
    <mergeCell ref="B53:B58"/>
    <mergeCell ref="E53:E58"/>
    <mergeCell ref="G53:G58"/>
    <mergeCell ref="A47:A52"/>
    <mergeCell ref="B47:B52"/>
    <mergeCell ref="E47:E52"/>
    <mergeCell ref="G47:G52"/>
    <mergeCell ref="O35:O40"/>
    <mergeCell ref="O41:O46"/>
    <mergeCell ref="L47:L52"/>
    <mergeCell ref="M47:M52"/>
    <mergeCell ref="N47:N52"/>
    <mergeCell ref="A35:A40"/>
    <mergeCell ref="B35:B40"/>
    <mergeCell ref="A41:A46"/>
    <mergeCell ref="B41:B46"/>
    <mergeCell ref="E41:E46"/>
    <mergeCell ref="G41:G46"/>
    <mergeCell ref="H41:H46"/>
    <mergeCell ref="E35:E40"/>
    <mergeCell ref="G35:G40"/>
    <mergeCell ref="L41:L46"/>
    <mergeCell ref="M41:M46"/>
    <mergeCell ref="H35:H40"/>
    <mergeCell ref="I35:I40"/>
    <mergeCell ref="J35:J40"/>
    <mergeCell ref="O23:O28"/>
    <mergeCell ref="P23:P28"/>
    <mergeCell ref="A29:A34"/>
    <mergeCell ref="B29:B34"/>
    <mergeCell ref="E29:E34"/>
    <mergeCell ref="G29:G34"/>
    <mergeCell ref="H29:H34"/>
    <mergeCell ref="I29:I34"/>
    <mergeCell ref="J29:J34"/>
    <mergeCell ref="K29:K34"/>
    <mergeCell ref="L29:L34"/>
    <mergeCell ref="M29:M34"/>
    <mergeCell ref="N29:N34"/>
    <mergeCell ref="O29:O34"/>
    <mergeCell ref="P29:P34"/>
    <mergeCell ref="K35:K40"/>
    <mergeCell ref="L35:L40"/>
    <mergeCell ref="M17:M22"/>
    <mergeCell ref="N17:N22"/>
    <mergeCell ref="O17:O22"/>
    <mergeCell ref="P17:P22"/>
    <mergeCell ref="A23:A28"/>
    <mergeCell ref="B23:B28"/>
    <mergeCell ref="E23:E28"/>
    <mergeCell ref="G23:G28"/>
    <mergeCell ref="H23:H28"/>
    <mergeCell ref="I23:I28"/>
    <mergeCell ref="J23:J28"/>
    <mergeCell ref="K23:K28"/>
    <mergeCell ref="L23:L28"/>
    <mergeCell ref="M23:M28"/>
    <mergeCell ref="N23:N28"/>
    <mergeCell ref="H17:H22"/>
    <mergeCell ref="I17:I22"/>
    <mergeCell ref="J17:J22"/>
    <mergeCell ref="K17:K22"/>
    <mergeCell ref="L17:L22"/>
    <mergeCell ref="A17:A22"/>
    <mergeCell ref="B17:B22"/>
    <mergeCell ref="E17:E22"/>
    <mergeCell ref="G17:G22"/>
    <mergeCell ref="AF9:AF10"/>
    <mergeCell ref="C6:P6"/>
    <mergeCell ref="C7:P7"/>
    <mergeCell ref="Q9:Q10"/>
    <mergeCell ref="AE9:AE10"/>
    <mergeCell ref="AD9:AD10"/>
    <mergeCell ref="Z9:Z10"/>
    <mergeCell ref="R9:R10"/>
    <mergeCell ref="AC9:AC10"/>
    <mergeCell ref="AA9:AA10"/>
    <mergeCell ref="AB9:AB10"/>
    <mergeCell ref="I9:I10"/>
    <mergeCell ref="J9:J10"/>
    <mergeCell ref="K9:K10"/>
    <mergeCell ref="N9:N10"/>
    <mergeCell ref="O9:O10"/>
    <mergeCell ref="P9:P10"/>
    <mergeCell ref="L9:L10"/>
    <mergeCell ref="M9:M10"/>
    <mergeCell ref="S9:S10"/>
    <mergeCell ref="T9:Y9"/>
    <mergeCell ref="C4:P4"/>
    <mergeCell ref="H11:H16"/>
    <mergeCell ref="I11:I16"/>
    <mergeCell ref="J11:J16"/>
    <mergeCell ref="A11:A16"/>
    <mergeCell ref="B11:B16"/>
    <mergeCell ref="E11:E16"/>
    <mergeCell ref="G11:G16"/>
    <mergeCell ref="P11:P16"/>
    <mergeCell ref="K11:K16"/>
    <mergeCell ref="L11:L16"/>
    <mergeCell ref="M11:M16"/>
    <mergeCell ref="N11:N16"/>
    <mergeCell ref="O11:O16"/>
    <mergeCell ref="F11:F16"/>
    <mergeCell ref="C11:C16"/>
    <mergeCell ref="A4:B4"/>
    <mergeCell ref="A5:B5"/>
    <mergeCell ref="C5:P5"/>
  </mergeCells>
  <conditionalFormatting sqref="J11 J17">
    <cfRule type="cellIs" dxfId="238" priority="319" operator="equal">
      <formula>"Muy Alta"</formula>
    </cfRule>
    <cfRule type="cellIs" dxfId="237" priority="320" operator="equal">
      <formula>"Alta"</formula>
    </cfRule>
    <cfRule type="cellIs" dxfId="236" priority="321" operator="equal">
      <formula>"Media"</formula>
    </cfRule>
    <cfRule type="cellIs" dxfId="235" priority="322" operator="equal">
      <formula>"Baja"</formula>
    </cfRule>
    <cfRule type="cellIs" dxfId="234" priority="323" operator="equal">
      <formula>"Muy Baja"</formula>
    </cfRule>
  </conditionalFormatting>
  <conditionalFormatting sqref="N11 N17 N23 N29 N35 N41 N47 N53 N59 N65">
    <cfRule type="cellIs" dxfId="233" priority="314" operator="equal">
      <formula>"Catastrófico"</formula>
    </cfRule>
    <cfRule type="cellIs" dxfId="232" priority="315" operator="equal">
      <formula>"Mayor"</formula>
    </cfRule>
    <cfRule type="cellIs" dxfId="231" priority="316" operator="equal">
      <formula>"Moderado"</formula>
    </cfRule>
    <cfRule type="cellIs" dxfId="230" priority="317" operator="equal">
      <formula>"Menor"</formula>
    </cfRule>
    <cfRule type="cellIs" dxfId="229" priority="318" operator="equal">
      <formula>"Leve"</formula>
    </cfRule>
  </conditionalFormatting>
  <conditionalFormatting sqref="P11">
    <cfRule type="cellIs" dxfId="228" priority="310" operator="equal">
      <formula>"Extremo"</formula>
    </cfRule>
    <cfRule type="cellIs" dxfId="227" priority="311" operator="equal">
      <formula>"Alto"</formula>
    </cfRule>
    <cfRule type="cellIs" dxfId="226" priority="312" operator="equal">
      <formula>"Moderado"</formula>
    </cfRule>
    <cfRule type="cellIs" dxfId="225" priority="313" operator="equal">
      <formula>"Bajo"</formula>
    </cfRule>
  </conditionalFormatting>
  <conditionalFormatting sqref="AA11:AA16">
    <cfRule type="cellIs" dxfId="224" priority="305" operator="equal">
      <formula>"Muy Alta"</formula>
    </cfRule>
    <cfRule type="cellIs" dxfId="223" priority="306" operator="equal">
      <formula>"Alta"</formula>
    </cfRule>
    <cfRule type="cellIs" dxfId="222" priority="307" operator="equal">
      <formula>"Media"</formula>
    </cfRule>
    <cfRule type="cellIs" dxfId="221" priority="308" operator="equal">
      <formula>"Baja"</formula>
    </cfRule>
    <cfRule type="cellIs" dxfId="220" priority="309" operator="equal">
      <formula>"Muy Baja"</formula>
    </cfRule>
  </conditionalFormatting>
  <conditionalFormatting sqref="AC11:AC16">
    <cfRule type="cellIs" dxfId="219" priority="300" operator="equal">
      <formula>"Catastrófico"</formula>
    </cfRule>
    <cfRule type="cellIs" dxfId="218" priority="301" operator="equal">
      <formula>"Mayor"</formula>
    </cfRule>
    <cfRule type="cellIs" dxfId="217" priority="302" operator="equal">
      <formula>"Moderado"</formula>
    </cfRule>
    <cfRule type="cellIs" dxfId="216" priority="303" operator="equal">
      <formula>"Menor"</formula>
    </cfRule>
    <cfRule type="cellIs" dxfId="215" priority="304" operator="equal">
      <formula>"Leve"</formula>
    </cfRule>
  </conditionalFormatting>
  <conditionalFormatting sqref="AE11:AE16">
    <cfRule type="cellIs" dxfId="214" priority="296" operator="equal">
      <formula>"Extremo"</formula>
    </cfRule>
    <cfRule type="cellIs" dxfId="213" priority="297" operator="equal">
      <formula>"Alto"</formula>
    </cfRule>
    <cfRule type="cellIs" dxfId="212" priority="298" operator="equal">
      <formula>"Moderado"</formula>
    </cfRule>
    <cfRule type="cellIs" dxfId="211" priority="299" operator="equal">
      <formula>"Bajo"</formula>
    </cfRule>
  </conditionalFormatting>
  <conditionalFormatting sqref="J59">
    <cfRule type="cellIs" dxfId="210" priority="53" operator="equal">
      <formula>"Muy Alta"</formula>
    </cfRule>
    <cfRule type="cellIs" dxfId="209" priority="54" operator="equal">
      <formula>"Alta"</formula>
    </cfRule>
    <cfRule type="cellIs" dxfId="208" priority="55" operator="equal">
      <formula>"Media"</formula>
    </cfRule>
    <cfRule type="cellIs" dxfId="207" priority="56" operator="equal">
      <formula>"Baja"</formula>
    </cfRule>
    <cfRule type="cellIs" dxfId="206" priority="57" operator="equal">
      <formula>"Muy Baja"</formula>
    </cfRule>
  </conditionalFormatting>
  <conditionalFormatting sqref="P17">
    <cfRule type="cellIs" dxfId="205" priority="240" operator="equal">
      <formula>"Extremo"</formula>
    </cfRule>
    <cfRule type="cellIs" dxfId="204" priority="241" operator="equal">
      <formula>"Alto"</formula>
    </cfRule>
    <cfRule type="cellIs" dxfId="203" priority="242" operator="equal">
      <formula>"Moderado"</formula>
    </cfRule>
    <cfRule type="cellIs" dxfId="202" priority="243" operator="equal">
      <formula>"Bajo"</formula>
    </cfRule>
  </conditionalFormatting>
  <conditionalFormatting sqref="AA17:AA22">
    <cfRule type="cellIs" dxfId="201" priority="235" operator="equal">
      <formula>"Muy Alta"</formula>
    </cfRule>
    <cfRule type="cellIs" dxfId="200" priority="236" operator="equal">
      <formula>"Alta"</formula>
    </cfRule>
    <cfRule type="cellIs" dxfId="199" priority="237" operator="equal">
      <formula>"Media"</formula>
    </cfRule>
    <cfRule type="cellIs" dxfId="198" priority="238" operator="equal">
      <formula>"Baja"</formula>
    </cfRule>
    <cfRule type="cellIs" dxfId="197" priority="239" operator="equal">
      <formula>"Muy Baja"</formula>
    </cfRule>
  </conditionalFormatting>
  <conditionalFormatting sqref="AC17:AC22">
    <cfRule type="cellIs" dxfId="196" priority="230" operator="equal">
      <formula>"Catastrófico"</formula>
    </cfRule>
    <cfRule type="cellIs" dxfId="195" priority="231" operator="equal">
      <formula>"Mayor"</formula>
    </cfRule>
    <cfRule type="cellIs" dxfId="194" priority="232" operator="equal">
      <formula>"Moderado"</formula>
    </cfRule>
    <cfRule type="cellIs" dxfId="193" priority="233" operator="equal">
      <formula>"Menor"</formula>
    </cfRule>
    <cfRule type="cellIs" dxfId="192" priority="234" operator="equal">
      <formula>"Leve"</formula>
    </cfRule>
  </conditionalFormatting>
  <conditionalFormatting sqref="AE17:AE22">
    <cfRule type="cellIs" dxfId="191" priority="226" operator="equal">
      <formula>"Extremo"</formula>
    </cfRule>
    <cfRule type="cellIs" dxfId="190" priority="227" operator="equal">
      <formula>"Alto"</formula>
    </cfRule>
    <cfRule type="cellIs" dxfId="189" priority="228" operator="equal">
      <formula>"Moderado"</formula>
    </cfRule>
    <cfRule type="cellIs" dxfId="188" priority="229" operator="equal">
      <formula>"Bajo"</formula>
    </cfRule>
  </conditionalFormatting>
  <conditionalFormatting sqref="J23">
    <cfRule type="cellIs" dxfId="187" priority="221" operator="equal">
      <formula>"Muy Alta"</formula>
    </cfRule>
    <cfRule type="cellIs" dxfId="186" priority="222" operator="equal">
      <formula>"Alta"</formula>
    </cfRule>
    <cfRule type="cellIs" dxfId="185" priority="223" operator="equal">
      <formula>"Media"</formula>
    </cfRule>
    <cfRule type="cellIs" dxfId="184" priority="224" operator="equal">
      <formula>"Baja"</formula>
    </cfRule>
    <cfRule type="cellIs" dxfId="183" priority="225" operator="equal">
      <formula>"Muy Baja"</formula>
    </cfRule>
  </conditionalFormatting>
  <conditionalFormatting sqref="P23">
    <cfRule type="cellIs" dxfId="182" priority="212" operator="equal">
      <formula>"Extremo"</formula>
    </cfRule>
    <cfRule type="cellIs" dxfId="181" priority="213" operator="equal">
      <formula>"Alto"</formula>
    </cfRule>
    <cfRule type="cellIs" dxfId="180" priority="214" operator="equal">
      <formula>"Moderado"</formula>
    </cfRule>
    <cfRule type="cellIs" dxfId="179" priority="215" operator="equal">
      <formula>"Bajo"</formula>
    </cfRule>
  </conditionalFormatting>
  <conditionalFormatting sqref="AA23:AA28">
    <cfRule type="cellIs" dxfId="178" priority="207" operator="equal">
      <formula>"Muy Alta"</formula>
    </cfRule>
    <cfRule type="cellIs" dxfId="177" priority="208" operator="equal">
      <formula>"Alta"</formula>
    </cfRule>
    <cfRule type="cellIs" dxfId="176" priority="209" operator="equal">
      <formula>"Media"</formula>
    </cfRule>
    <cfRule type="cellIs" dxfId="175" priority="210" operator="equal">
      <formula>"Baja"</formula>
    </cfRule>
    <cfRule type="cellIs" dxfId="174" priority="211" operator="equal">
      <formula>"Muy Baja"</formula>
    </cfRule>
  </conditionalFormatting>
  <conditionalFormatting sqref="AC23:AC28">
    <cfRule type="cellIs" dxfId="173" priority="202" operator="equal">
      <formula>"Catastrófico"</formula>
    </cfRule>
    <cfRule type="cellIs" dxfId="172" priority="203" operator="equal">
      <formula>"Mayor"</formula>
    </cfRule>
    <cfRule type="cellIs" dxfId="171" priority="204" operator="equal">
      <formula>"Moderado"</formula>
    </cfRule>
    <cfRule type="cellIs" dxfId="170" priority="205" operator="equal">
      <formula>"Menor"</formula>
    </cfRule>
    <cfRule type="cellIs" dxfId="169" priority="206" operator="equal">
      <formula>"Leve"</formula>
    </cfRule>
  </conditionalFormatting>
  <conditionalFormatting sqref="AE23:AE28">
    <cfRule type="cellIs" dxfId="168" priority="198" operator="equal">
      <formula>"Extremo"</formula>
    </cfRule>
    <cfRule type="cellIs" dxfId="167" priority="199" operator="equal">
      <formula>"Alto"</formula>
    </cfRule>
    <cfRule type="cellIs" dxfId="166" priority="200" operator="equal">
      <formula>"Moderado"</formula>
    </cfRule>
    <cfRule type="cellIs" dxfId="165" priority="201" operator="equal">
      <formula>"Bajo"</formula>
    </cfRule>
  </conditionalFormatting>
  <conditionalFormatting sqref="J29">
    <cfRule type="cellIs" dxfId="164" priority="193" operator="equal">
      <formula>"Muy Alta"</formula>
    </cfRule>
    <cfRule type="cellIs" dxfId="163" priority="194" operator="equal">
      <formula>"Alta"</formula>
    </cfRule>
    <cfRule type="cellIs" dxfId="162" priority="195" operator="equal">
      <formula>"Media"</formula>
    </cfRule>
    <cfRule type="cellIs" dxfId="161" priority="196" operator="equal">
      <formula>"Baja"</formula>
    </cfRule>
    <cfRule type="cellIs" dxfId="160" priority="197" operator="equal">
      <formula>"Muy Baja"</formula>
    </cfRule>
  </conditionalFormatting>
  <conditionalFormatting sqref="P29">
    <cfRule type="cellIs" dxfId="159" priority="184" operator="equal">
      <formula>"Extremo"</formula>
    </cfRule>
    <cfRule type="cellIs" dxfId="158" priority="185" operator="equal">
      <formula>"Alto"</formula>
    </cfRule>
    <cfRule type="cellIs" dxfId="157" priority="186" operator="equal">
      <formula>"Moderado"</formula>
    </cfRule>
    <cfRule type="cellIs" dxfId="156" priority="187" operator="equal">
      <formula>"Bajo"</formula>
    </cfRule>
  </conditionalFormatting>
  <conditionalFormatting sqref="AA29:AA34">
    <cfRule type="cellIs" dxfId="155" priority="179" operator="equal">
      <formula>"Muy Alta"</formula>
    </cfRule>
    <cfRule type="cellIs" dxfId="154" priority="180" operator="equal">
      <formula>"Alta"</formula>
    </cfRule>
    <cfRule type="cellIs" dxfId="153" priority="181" operator="equal">
      <formula>"Media"</formula>
    </cfRule>
    <cfRule type="cellIs" dxfId="152" priority="182" operator="equal">
      <formula>"Baja"</formula>
    </cfRule>
    <cfRule type="cellIs" dxfId="151" priority="183" operator="equal">
      <formula>"Muy Baja"</formula>
    </cfRule>
  </conditionalFormatting>
  <conditionalFormatting sqref="AC29:AC34">
    <cfRule type="cellIs" dxfId="150" priority="174" operator="equal">
      <formula>"Catastrófico"</formula>
    </cfRule>
    <cfRule type="cellIs" dxfId="149" priority="175" operator="equal">
      <formula>"Mayor"</formula>
    </cfRule>
    <cfRule type="cellIs" dxfId="148" priority="176" operator="equal">
      <formula>"Moderado"</formula>
    </cfRule>
    <cfRule type="cellIs" dxfId="147" priority="177" operator="equal">
      <formula>"Menor"</formula>
    </cfRule>
    <cfRule type="cellIs" dxfId="146" priority="178" operator="equal">
      <formula>"Leve"</formula>
    </cfRule>
  </conditionalFormatting>
  <conditionalFormatting sqref="AE29:AE34">
    <cfRule type="cellIs" dxfId="145" priority="170" operator="equal">
      <formula>"Extremo"</formula>
    </cfRule>
    <cfRule type="cellIs" dxfId="144" priority="171" operator="equal">
      <formula>"Alto"</formula>
    </cfRule>
    <cfRule type="cellIs" dxfId="143" priority="172" operator="equal">
      <formula>"Moderado"</formula>
    </cfRule>
    <cfRule type="cellIs" dxfId="142" priority="173" operator="equal">
      <formula>"Bajo"</formula>
    </cfRule>
  </conditionalFormatting>
  <conditionalFormatting sqref="J35">
    <cfRule type="cellIs" dxfId="141" priority="165" operator="equal">
      <formula>"Muy Alta"</formula>
    </cfRule>
    <cfRule type="cellIs" dxfId="140" priority="166" operator="equal">
      <formula>"Alta"</formula>
    </cfRule>
    <cfRule type="cellIs" dxfId="139" priority="167" operator="equal">
      <formula>"Media"</formula>
    </cfRule>
    <cfRule type="cellIs" dxfId="138" priority="168" operator="equal">
      <formula>"Baja"</formula>
    </cfRule>
    <cfRule type="cellIs" dxfId="137" priority="169" operator="equal">
      <formula>"Muy Baja"</formula>
    </cfRule>
  </conditionalFormatting>
  <conditionalFormatting sqref="P35">
    <cfRule type="cellIs" dxfId="136" priority="156" operator="equal">
      <formula>"Extremo"</formula>
    </cfRule>
    <cfRule type="cellIs" dxfId="135" priority="157" operator="equal">
      <formula>"Alto"</formula>
    </cfRule>
    <cfRule type="cellIs" dxfId="134" priority="158" operator="equal">
      <formula>"Moderado"</formula>
    </cfRule>
    <cfRule type="cellIs" dxfId="133" priority="159" operator="equal">
      <formula>"Bajo"</formula>
    </cfRule>
  </conditionalFormatting>
  <conditionalFormatting sqref="AA35:AA40">
    <cfRule type="cellIs" dxfId="132" priority="151" operator="equal">
      <formula>"Muy Alta"</formula>
    </cfRule>
    <cfRule type="cellIs" dxfId="131" priority="152" operator="equal">
      <formula>"Alta"</formula>
    </cfRule>
    <cfRule type="cellIs" dxfId="130" priority="153" operator="equal">
      <formula>"Media"</formula>
    </cfRule>
    <cfRule type="cellIs" dxfId="129" priority="154" operator="equal">
      <formula>"Baja"</formula>
    </cfRule>
    <cfRule type="cellIs" dxfId="128" priority="155" operator="equal">
      <formula>"Muy Baja"</formula>
    </cfRule>
  </conditionalFormatting>
  <conditionalFormatting sqref="AC35:AC40">
    <cfRule type="cellIs" dxfId="127" priority="146" operator="equal">
      <formula>"Catastrófico"</formula>
    </cfRule>
    <cfRule type="cellIs" dxfId="126" priority="147" operator="equal">
      <formula>"Mayor"</formula>
    </cfRule>
    <cfRule type="cellIs" dxfId="125" priority="148" operator="equal">
      <formula>"Moderado"</formula>
    </cfRule>
    <cfRule type="cellIs" dxfId="124" priority="149" operator="equal">
      <formula>"Menor"</formula>
    </cfRule>
    <cfRule type="cellIs" dxfId="123" priority="150" operator="equal">
      <formula>"Leve"</formula>
    </cfRule>
  </conditionalFormatting>
  <conditionalFormatting sqref="AE35:AE40">
    <cfRule type="cellIs" dxfId="122" priority="142" operator="equal">
      <formula>"Extremo"</formula>
    </cfRule>
    <cfRule type="cellIs" dxfId="121" priority="143" operator="equal">
      <formula>"Alto"</formula>
    </cfRule>
    <cfRule type="cellIs" dxfId="120" priority="144" operator="equal">
      <formula>"Moderado"</formula>
    </cfRule>
    <cfRule type="cellIs" dxfId="119" priority="145" operator="equal">
      <formula>"Bajo"</formula>
    </cfRule>
  </conditionalFormatting>
  <conditionalFormatting sqref="J41">
    <cfRule type="cellIs" dxfId="118" priority="137" operator="equal">
      <formula>"Muy Alta"</formula>
    </cfRule>
    <cfRule type="cellIs" dxfId="117" priority="138" operator="equal">
      <formula>"Alta"</formula>
    </cfRule>
    <cfRule type="cellIs" dxfId="116" priority="139" operator="equal">
      <formula>"Media"</formula>
    </cfRule>
    <cfRule type="cellIs" dxfId="115" priority="140" operator="equal">
      <formula>"Baja"</formula>
    </cfRule>
    <cfRule type="cellIs" dxfId="114" priority="141" operator="equal">
      <formula>"Muy Baja"</formula>
    </cfRule>
  </conditionalFormatting>
  <conditionalFormatting sqref="P41">
    <cfRule type="cellIs" dxfId="113" priority="128" operator="equal">
      <formula>"Extremo"</formula>
    </cfRule>
    <cfRule type="cellIs" dxfId="112" priority="129" operator="equal">
      <formula>"Alto"</formula>
    </cfRule>
    <cfRule type="cellIs" dxfId="111" priority="130" operator="equal">
      <formula>"Moderado"</formula>
    </cfRule>
    <cfRule type="cellIs" dxfId="110" priority="131" operator="equal">
      <formula>"Bajo"</formula>
    </cfRule>
  </conditionalFormatting>
  <conditionalFormatting sqref="AA41:AA46">
    <cfRule type="cellIs" dxfId="109" priority="123" operator="equal">
      <formula>"Muy Alta"</formula>
    </cfRule>
    <cfRule type="cellIs" dxfId="108" priority="124" operator="equal">
      <formula>"Alta"</formula>
    </cfRule>
    <cfRule type="cellIs" dxfId="107" priority="125" operator="equal">
      <formula>"Media"</formula>
    </cfRule>
    <cfRule type="cellIs" dxfId="106" priority="126" operator="equal">
      <formula>"Baja"</formula>
    </cfRule>
    <cfRule type="cellIs" dxfId="105" priority="127" operator="equal">
      <formula>"Muy Baja"</formula>
    </cfRule>
  </conditionalFormatting>
  <conditionalFormatting sqref="AC41:AC46">
    <cfRule type="cellIs" dxfId="104" priority="118" operator="equal">
      <formula>"Catastrófico"</formula>
    </cfRule>
    <cfRule type="cellIs" dxfId="103" priority="119" operator="equal">
      <formula>"Mayor"</formula>
    </cfRule>
    <cfRule type="cellIs" dxfId="102" priority="120" operator="equal">
      <formula>"Moderado"</formula>
    </cfRule>
    <cfRule type="cellIs" dxfId="101" priority="121" operator="equal">
      <formula>"Menor"</formula>
    </cfRule>
    <cfRule type="cellIs" dxfId="100" priority="122" operator="equal">
      <formula>"Leve"</formula>
    </cfRule>
  </conditionalFormatting>
  <conditionalFormatting sqref="AE41:AE46">
    <cfRule type="cellIs" dxfId="99" priority="114" operator="equal">
      <formula>"Extremo"</formula>
    </cfRule>
    <cfRule type="cellIs" dxfId="98" priority="115" operator="equal">
      <formula>"Alto"</formula>
    </cfRule>
    <cfRule type="cellIs" dxfId="97" priority="116" operator="equal">
      <formula>"Moderado"</formula>
    </cfRule>
    <cfRule type="cellIs" dxfId="96" priority="117" operator="equal">
      <formula>"Bajo"</formula>
    </cfRule>
  </conditionalFormatting>
  <conditionalFormatting sqref="J47">
    <cfRule type="cellIs" dxfId="95" priority="109" operator="equal">
      <formula>"Muy Alta"</formula>
    </cfRule>
    <cfRule type="cellIs" dxfId="94" priority="110" operator="equal">
      <formula>"Alta"</formula>
    </cfRule>
    <cfRule type="cellIs" dxfId="93" priority="111" operator="equal">
      <formula>"Media"</formula>
    </cfRule>
    <cfRule type="cellIs" dxfId="92" priority="112" operator="equal">
      <formula>"Baja"</formula>
    </cfRule>
    <cfRule type="cellIs" dxfId="91" priority="113" operator="equal">
      <formula>"Muy Baja"</formula>
    </cfRule>
  </conditionalFormatting>
  <conditionalFormatting sqref="P47">
    <cfRule type="cellIs" dxfId="90" priority="100" operator="equal">
      <formula>"Extremo"</formula>
    </cfRule>
    <cfRule type="cellIs" dxfId="89" priority="101" operator="equal">
      <formula>"Alto"</formula>
    </cfRule>
    <cfRule type="cellIs" dxfId="88" priority="102" operator="equal">
      <formula>"Moderado"</formula>
    </cfRule>
    <cfRule type="cellIs" dxfId="87" priority="103" operator="equal">
      <formula>"Bajo"</formula>
    </cfRule>
  </conditionalFormatting>
  <conditionalFormatting sqref="AA47:AA52">
    <cfRule type="cellIs" dxfId="86" priority="95" operator="equal">
      <formula>"Muy Alta"</formula>
    </cfRule>
    <cfRule type="cellIs" dxfId="85" priority="96" operator="equal">
      <formula>"Alta"</formula>
    </cfRule>
    <cfRule type="cellIs" dxfId="84" priority="97" operator="equal">
      <formula>"Media"</formula>
    </cfRule>
    <cfRule type="cellIs" dxfId="83" priority="98" operator="equal">
      <formula>"Baja"</formula>
    </cfRule>
    <cfRule type="cellIs" dxfId="82" priority="99" operator="equal">
      <formula>"Muy Baja"</formula>
    </cfRule>
  </conditionalFormatting>
  <conditionalFormatting sqref="AC47:AC52">
    <cfRule type="cellIs" dxfId="81" priority="90" operator="equal">
      <formula>"Catastrófico"</formula>
    </cfRule>
    <cfRule type="cellIs" dxfId="80" priority="91" operator="equal">
      <formula>"Mayor"</formula>
    </cfRule>
    <cfRule type="cellIs" dxfId="79" priority="92" operator="equal">
      <formula>"Moderado"</formula>
    </cfRule>
    <cfRule type="cellIs" dxfId="78" priority="93" operator="equal">
      <formula>"Menor"</formula>
    </cfRule>
    <cfRule type="cellIs" dxfId="77" priority="94" operator="equal">
      <formula>"Leve"</formula>
    </cfRule>
  </conditionalFormatting>
  <conditionalFormatting sqref="AE47:AE52">
    <cfRule type="cellIs" dxfId="76" priority="86" operator="equal">
      <formula>"Extremo"</formula>
    </cfRule>
    <cfRule type="cellIs" dxfId="75" priority="87" operator="equal">
      <formula>"Alto"</formula>
    </cfRule>
    <cfRule type="cellIs" dxfId="74" priority="88" operator="equal">
      <formula>"Moderado"</formula>
    </cfRule>
    <cfRule type="cellIs" dxfId="73" priority="89" operator="equal">
      <formula>"Bajo"</formula>
    </cfRule>
  </conditionalFormatting>
  <conditionalFormatting sqref="J53">
    <cfRule type="cellIs" dxfId="72" priority="81" operator="equal">
      <formula>"Muy Alta"</formula>
    </cfRule>
    <cfRule type="cellIs" dxfId="71" priority="82" operator="equal">
      <formula>"Alta"</formula>
    </cfRule>
    <cfRule type="cellIs" dxfId="70" priority="83" operator="equal">
      <formula>"Media"</formula>
    </cfRule>
    <cfRule type="cellIs" dxfId="69" priority="84" operator="equal">
      <formula>"Baja"</formula>
    </cfRule>
    <cfRule type="cellIs" dxfId="68" priority="85" operator="equal">
      <formula>"Muy Baja"</formula>
    </cfRule>
  </conditionalFormatting>
  <conditionalFormatting sqref="P53">
    <cfRule type="cellIs" dxfId="67" priority="72" operator="equal">
      <formula>"Extremo"</formula>
    </cfRule>
    <cfRule type="cellIs" dxfId="66" priority="73" operator="equal">
      <formula>"Alto"</formula>
    </cfRule>
    <cfRule type="cellIs" dxfId="65" priority="74" operator="equal">
      <formula>"Moderado"</formula>
    </cfRule>
    <cfRule type="cellIs" dxfId="64" priority="75" operator="equal">
      <formula>"Bajo"</formula>
    </cfRule>
  </conditionalFormatting>
  <conditionalFormatting sqref="AA53:AA58">
    <cfRule type="cellIs" dxfId="63" priority="67" operator="equal">
      <formula>"Muy Alta"</formula>
    </cfRule>
    <cfRule type="cellIs" dxfId="62" priority="68" operator="equal">
      <formula>"Alta"</formula>
    </cfRule>
    <cfRule type="cellIs" dxfId="61" priority="69" operator="equal">
      <formula>"Media"</formula>
    </cfRule>
    <cfRule type="cellIs" dxfId="60" priority="70" operator="equal">
      <formula>"Baja"</formula>
    </cfRule>
    <cfRule type="cellIs" dxfId="59" priority="71" operator="equal">
      <formula>"Muy Baja"</formula>
    </cfRule>
  </conditionalFormatting>
  <conditionalFormatting sqref="AC53:AC58">
    <cfRule type="cellIs" dxfId="58" priority="62" operator="equal">
      <formula>"Catastrófico"</formula>
    </cfRule>
    <cfRule type="cellIs" dxfId="57" priority="63" operator="equal">
      <formula>"Mayor"</formula>
    </cfRule>
    <cfRule type="cellIs" dxfId="56" priority="64" operator="equal">
      <formula>"Moderado"</formula>
    </cfRule>
    <cfRule type="cellIs" dxfId="55" priority="65" operator="equal">
      <formula>"Menor"</formula>
    </cfRule>
    <cfRule type="cellIs" dxfId="54" priority="66" operator="equal">
      <formula>"Leve"</formula>
    </cfRule>
  </conditionalFormatting>
  <conditionalFormatting sqref="AE53:AE58">
    <cfRule type="cellIs" dxfId="53" priority="58" operator="equal">
      <formula>"Extremo"</formula>
    </cfRule>
    <cfRule type="cellIs" dxfId="52" priority="59" operator="equal">
      <formula>"Alto"</formula>
    </cfRule>
    <cfRule type="cellIs" dxfId="51" priority="60" operator="equal">
      <formula>"Moderado"</formula>
    </cfRule>
    <cfRule type="cellIs" dxfId="50" priority="61" operator="equal">
      <formula>"Bajo"</formula>
    </cfRule>
  </conditionalFormatting>
  <conditionalFormatting sqref="P59">
    <cfRule type="cellIs" dxfId="49" priority="44" operator="equal">
      <formula>"Extremo"</formula>
    </cfRule>
    <cfRule type="cellIs" dxfId="48" priority="45" operator="equal">
      <formula>"Alto"</formula>
    </cfRule>
    <cfRule type="cellIs" dxfId="47" priority="46" operator="equal">
      <formula>"Moderado"</formula>
    </cfRule>
    <cfRule type="cellIs" dxfId="46" priority="47" operator="equal">
      <formula>"Bajo"</formula>
    </cfRule>
  </conditionalFormatting>
  <conditionalFormatting sqref="AA59:AA64">
    <cfRule type="cellIs" dxfId="45" priority="39" operator="equal">
      <formula>"Muy Alta"</formula>
    </cfRule>
    <cfRule type="cellIs" dxfId="44" priority="40" operator="equal">
      <formula>"Alta"</formula>
    </cfRule>
    <cfRule type="cellIs" dxfId="43" priority="41" operator="equal">
      <formula>"Media"</formula>
    </cfRule>
    <cfRule type="cellIs" dxfId="42" priority="42" operator="equal">
      <formula>"Baja"</formula>
    </cfRule>
    <cfRule type="cellIs" dxfId="41" priority="43" operator="equal">
      <formula>"Muy Baja"</formula>
    </cfRule>
  </conditionalFormatting>
  <conditionalFormatting sqref="AC59:AC64">
    <cfRule type="cellIs" dxfId="40" priority="34" operator="equal">
      <formula>"Catastrófico"</formula>
    </cfRule>
    <cfRule type="cellIs" dxfId="39" priority="35" operator="equal">
      <formula>"Mayor"</formula>
    </cfRule>
    <cfRule type="cellIs" dxfId="38" priority="36" operator="equal">
      <formula>"Moderado"</formula>
    </cfRule>
    <cfRule type="cellIs" dxfId="37" priority="37" operator="equal">
      <formula>"Menor"</formula>
    </cfRule>
    <cfRule type="cellIs" dxfId="36" priority="38" operator="equal">
      <formula>"Leve"</formula>
    </cfRule>
  </conditionalFormatting>
  <conditionalFormatting sqref="AE59:AE64">
    <cfRule type="cellIs" dxfId="35" priority="30" operator="equal">
      <formula>"Extremo"</formula>
    </cfRule>
    <cfRule type="cellIs" dxfId="34" priority="31" operator="equal">
      <formula>"Alto"</formula>
    </cfRule>
    <cfRule type="cellIs" dxfId="33" priority="32" operator="equal">
      <formula>"Moderado"</formula>
    </cfRule>
    <cfRule type="cellIs" dxfId="32" priority="33" operator="equal">
      <formula>"Bajo"</formula>
    </cfRule>
  </conditionalFormatting>
  <conditionalFormatting sqref="J65">
    <cfRule type="cellIs" dxfId="31" priority="25" operator="equal">
      <formula>"Muy Alta"</formula>
    </cfRule>
    <cfRule type="cellIs" dxfId="30" priority="26" operator="equal">
      <formula>"Alta"</formula>
    </cfRule>
    <cfRule type="cellIs" dxfId="29" priority="27" operator="equal">
      <formula>"Media"</formula>
    </cfRule>
    <cfRule type="cellIs" dxfId="28" priority="28" operator="equal">
      <formula>"Baja"</formula>
    </cfRule>
    <cfRule type="cellIs" dxfId="27" priority="29" operator="equal">
      <formula>"Muy Baja"</formula>
    </cfRule>
  </conditionalFormatting>
  <conditionalFormatting sqref="P65">
    <cfRule type="cellIs" dxfId="26" priority="16" operator="equal">
      <formula>"Extremo"</formula>
    </cfRule>
    <cfRule type="cellIs" dxfId="25" priority="17" operator="equal">
      <formula>"Alto"</formula>
    </cfRule>
    <cfRule type="cellIs" dxfId="24" priority="18" operator="equal">
      <formula>"Moderado"</formula>
    </cfRule>
    <cfRule type="cellIs" dxfId="23" priority="19" operator="equal">
      <formula>"Bajo"</formula>
    </cfRule>
  </conditionalFormatting>
  <conditionalFormatting sqref="AA65:AA70">
    <cfRule type="cellIs" dxfId="22" priority="11" operator="equal">
      <formula>"Muy Alta"</formula>
    </cfRule>
    <cfRule type="cellIs" dxfId="21" priority="12" operator="equal">
      <formula>"Alta"</formula>
    </cfRule>
    <cfRule type="cellIs" dxfId="20" priority="13" operator="equal">
      <formula>"Media"</formula>
    </cfRule>
    <cfRule type="cellIs" dxfId="19" priority="14" operator="equal">
      <formula>"Baja"</formula>
    </cfRule>
    <cfRule type="cellIs" dxfId="18" priority="15" operator="equal">
      <formula>"Muy Baja"</formula>
    </cfRule>
  </conditionalFormatting>
  <conditionalFormatting sqref="AC65:AC70">
    <cfRule type="cellIs" dxfId="17" priority="6" operator="equal">
      <formula>"Catastrófico"</formula>
    </cfRule>
    <cfRule type="cellIs" dxfId="16" priority="7" operator="equal">
      <formula>"Mayor"</formula>
    </cfRule>
    <cfRule type="cellIs" dxfId="15" priority="8" operator="equal">
      <formula>"Moderado"</formula>
    </cfRule>
    <cfRule type="cellIs" dxfId="14" priority="9" operator="equal">
      <formula>"Menor"</formula>
    </cfRule>
    <cfRule type="cellIs" dxfId="13" priority="10" operator="equal">
      <formula>"Leve"</formula>
    </cfRule>
  </conditionalFormatting>
  <conditionalFormatting sqref="AE65:AE70">
    <cfRule type="cellIs" dxfId="12" priority="2" operator="equal">
      <formula>"Extremo"</formula>
    </cfRule>
    <cfRule type="cellIs" dxfId="11" priority="3" operator="equal">
      <formula>"Alto"</formula>
    </cfRule>
    <cfRule type="cellIs" dxfId="10" priority="4" operator="equal">
      <formula>"Moderado"</formula>
    </cfRule>
    <cfRule type="cellIs" dxfId="9" priority="5" operator="equal">
      <formula>"Bajo"</formula>
    </cfRule>
  </conditionalFormatting>
  <conditionalFormatting sqref="M11:M70">
    <cfRule type="containsText" dxfId="8" priority="1" operator="containsText" text="❌">
      <formula>NOT(ISERROR(SEARCH("❌",M11)))</formula>
    </cfRule>
  </conditionalFormatting>
  <pageMargins left="0.7" right="0.7" top="0.75" bottom="0.75" header="0.3" footer="0.3"/>
  <pageSetup orientation="portrait" r:id="rId1"/>
  <ignoredErrors>
    <ignoredError sqref="AD13" formula="1"/>
  </ignoredErrors>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'Tabla Valoración controles'!$D$4:$D$6</xm:f>
          </x14:formula1>
          <xm:sqref>T11:T70</xm:sqref>
        </x14:dataValidation>
        <x14:dataValidation type="list" allowBlank="1" showInputMessage="1" showErrorMessage="1">
          <x14:formula1>
            <xm:f>'Tabla Valoración controles'!$D$7:$D$8</xm:f>
          </x14:formula1>
          <xm:sqref>U11:U70</xm:sqref>
        </x14:dataValidation>
        <x14:dataValidation type="list" allowBlank="1" showInputMessage="1" showErrorMessage="1">
          <x14:formula1>
            <xm:f>'Tabla Valoración controles'!$D$9:$D$10</xm:f>
          </x14:formula1>
          <xm:sqref>W11:W70</xm:sqref>
        </x14:dataValidation>
        <x14:dataValidation type="list" allowBlank="1" showInputMessage="1" showErrorMessage="1">
          <x14:formula1>
            <xm:f>'Tabla Valoración controles'!$D$11:$D$12</xm:f>
          </x14:formula1>
          <xm:sqref>X11:X70</xm:sqref>
        </x14:dataValidation>
        <x14:dataValidation type="list" allowBlank="1" showInputMessage="1" showErrorMessage="1">
          <x14:formula1>
            <xm:f>'Tabla Valoración controles'!$D$13:$D$14</xm:f>
          </x14:formula1>
          <xm:sqref>Y11:Y70</xm:sqref>
        </x14:dataValidation>
        <x14:dataValidation type="list" allowBlank="1" showInputMessage="1" showErrorMessage="1">
          <x14:formula1>
            <xm:f>'Opciones Tratamiento'!$E$2:$E$4</xm:f>
          </x14:formula1>
          <xm:sqref>C11:C70</xm:sqref>
        </x14:dataValidation>
        <x14:dataValidation type="list" allowBlank="1" showInputMessage="1" showErrorMessage="1">
          <x14:formula1>
            <xm:f>'Opciones Tratamiento'!$B$2:$B$5</xm:f>
          </x14:formula1>
          <xm:sqref>AF11:AF70</xm:sqref>
        </x14:dataValidation>
        <x14:dataValidation type="list" allowBlank="1" showInputMessage="1" showErrorMessage="1">
          <x14:formula1>
            <xm:f>'Tabla Impacto'!$F$210:$F$221</xm:f>
          </x14:formula1>
          <xm:sqref>L11:L70</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AG11:AG70</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AH11:AH70</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AI11:AI70</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AJ11:AJ70</xm:sqref>
        </x14:dataValidation>
        <x14:dataValidation type="custom" allowBlank="1" showInputMessage="1" showErrorMessage="1" error="Recuerde que las acciones se generan bajo la medida de mitigar el riesgo">
          <x14:formula1>
            <xm:f>IF(OR(AF11='Opciones Tratamiento'!$B$2,AF11='Opciones Tratamiento'!$B$3,AF11='Opciones Tratamiento'!$B$4),ISBLANK(AF11),ISTEXT(AF11))</xm:f>
          </x14:formula1>
          <xm:sqref>AK11:AK70</xm:sqref>
        </x14:dataValidation>
        <x14:dataValidation type="list" allowBlank="1" showInputMessage="1" showErrorMessage="1">
          <x14:formula1>
            <xm:f>Procesos!$D$16:$D$22</xm:f>
          </x14:formula1>
          <xm:sqref>B11:C11 B17:C17 B23:C23 B29:C29 B35:C35 B41:C41 B47:C47 B53:C53 B59:C59 B65:C65</xm:sqref>
        </x14:dataValidation>
        <x14:dataValidation type="list" allowBlank="1" showInputMessage="1" showErrorMessage="1">
          <x14:formula1>
            <xm:f>'Opciones Tratamiento'!$B$9:$B$11</xm:f>
          </x14:formula1>
          <xm:sqref>AL11:AL70</xm:sqref>
        </x14:dataValidation>
        <x14:dataValidation type="list" allowBlank="1" showInputMessage="1" showErrorMessage="1">
          <x14:formula1>
            <xm:f>'Opciones Tratamiento'!$B$13:$B$19</xm:f>
          </x14:formula1>
          <xm:sqref>H17:H70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J12" sqref="J12:K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263" t="s">
        <v>144</v>
      </c>
      <c r="C2" s="263"/>
      <c r="D2" s="263"/>
      <c r="E2" s="263"/>
      <c r="F2" s="263"/>
      <c r="G2" s="263"/>
      <c r="H2" s="263"/>
      <c r="I2" s="263"/>
      <c r="J2" s="301" t="s">
        <v>2</v>
      </c>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263"/>
      <c r="C3" s="263"/>
      <c r="D3" s="263"/>
      <c r="E3" s="263"/>
      <c r="F3" s="263"/>
      <c r="G3" s="263"/>
      <c r="H3" s="263"/>
      <c r="I3" s="263"/>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263"/>
      <c r="C4" s="263"/>
      <c r="D4" s="263"/>
      <c r="E4" s="263"/>
      <c r="F4" s="263"/>
      <c r="G4" s="263"/>
      <c r="H4" s="263"/>
      <c r="I4" s="263"/>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313" t="s">
        <v>3</v>
      </c>
      <c r="C6" s="313"/>
      <c r="D6" s="314"/>
      <c r="E6" s="302" t="s">
        <v>108</v>
      </c>
      <c r="F6" s="303"/>
      <c r="G6" s="303"/>
      <c r="H6" s="303"/>
      <c r="I6" s="304"/>
      <c r="J6" s="298" t="str">
        <f>IF(AND('Mapa final'!$J$11="Muy Alta",'Mapa final'!$N$11="Leve"),CONCATENATE("R",'Mapa final'!$A$11),"")</f>
        <v/>
      </c>
      <c r="K6" s="299"/>
      <c r="L6" s="299" t="str">
        <f>IF(AND('Mapa final'!$J$17="Muy Alta",'Mapa final'!$N$17="Leve"),CONCATENATE("R",'Mapa final'!$A$17),"")</f>
        <v/>
      </c>
      <c r="M6" s="299"/>
      <c r="N6" s="299" t="str">
        <f>IF(AND('Mapa final'!$J$23="Muy Alta",'Mapa final'!$N$23="Leve"),CONCATENATE("R",'Mapa final'!$A$23),"")</f>
        <v/>
      </c>
      <c r="O6" s="300"/>
      <c r="P6" s="298" t="str">
        <f>IF(AND('Mapa final'!$J$11="Muy Alta",'Mapa final'!$N$11="Menor"),CONCATENATE("R",'Mapa final'!$A$11),"")</f>
        <v/>
      </c>
      <c r="Q6" s="299"/>
      <c r="R6" s="299" t="str">
        <f>IF(AND('Mapa final'!$J$17="Muy Alta",'Mapa final'!$N$17="Menor"),CONCATENATE("R",'Mapa final'!$A$17),"")</f>
        <v/>
      </c>
      <c r="S6" s="299"/>
      <c r="T6" s="299" t="str">
        <f>IF(AND('Mapa final'!$J$23="Muy Alta",'Mapa final'!$N$23="Menor"),CONCATENATE("R",'Mapa final'!$A$23),"")</f>
        <v/>
      </c>
      <c r="U6" s="300"/>
      <c r="V6" s="298" t="str">
        <f>IF(AND('Mapa final'!$J$11="Muy Alta",'Mapa final'!$N$11="Moderado"),CONCATENATE("R",'Mapa final'!$A$11),"")</f>
        <v/>
      </c>
      <c r="W6" s="299"/>
      <c r="X6" s="299" t="str">
        <f>IF(AND('Mapa final'!$J$17="Muy Alta",'Mapa final'!$N$17="Moderado"),CONCATENATE("R",'Mapa final'!$A$17),"")</f>
        <v/>
      </c>
      <c r="Y6" s="299"/>
      <c r="Z6" s="299" t="str">
        <f>IF(AND('Mapa final'!$J$23="Muy Alta",'Mapa final'!$N$23="Moderado"),CONCATENATE("R",'Mapa final'!$A$23),"")</f>
        <v/>
      </c>
      <c r="AA6" s="300"/>
      <c r="AB6" s="298" t="str">
        <f>IF(AND('Mapa final'!$J$11="Muy Alta",'Mapa final'!$N$11="Mayor"),CONCATENATE("R",'Mapa final'!$A$11),"")</f>
        <v/>
      </c>
      <c r="AC6" s="299"/>
      <c r="AD6" s="299" t="str">
        <f>IF(AND('Mapa final'!$J$17="Muy Alta",'Mapa final'!$N$17="Mayor"),CONCATENATE("R",'Mapa final'!$A$17),"")</f>
        <v/>
      </c>
      <c r="AE6" s="299"/>
      <c r="AF6" s="299" t="str">
        <f>IF(AND('Mapa final'!$J$23="Muy Alta",'Mapa final'!$N$23="Mayor"),CONCATENATE("R",'Mapa final'!$A$23),"")</f>
        <v/>
      </c>
      <c r="AG6" s="300"/>
      <c r="AH6" s="288" t="str">
        <f>IF(AND('Mapa final'!$J$11="Muy Alta",'Mapa final'!$N$11="Catastrófico"),CONCATENATE("R",'Mapa final'!$A$11),"")</f>
        <v/>
      </c>
      <c r="AI6" s="289"/>
      <c r="AJ6" s="289" t="str">
        <f>IF(AND('Mapa final'!$J$17="Muy Alta",'Mapa final'!$N$17="Catastrófico"),CONCATENATE("R",'Mapa final'!$A$17),"")</f>
        <v/>
      </c>
      <c r="AK6" s="289"/>
      <c r="AL6" s="289" t="str">
        <f>IF(AND('Mapa final'!$J$23="Muy Alta",'Mapa final'!$N$23="Catastrófico"),CONCATENATE("R",'Mapa final'!$A$23),"")</f>
        <v/>
      </c>
      <c r="AM6" s="290"/>
      <c r="AO6" s="315" t="s">
        <v>76</v>
      </c>
      <c r="AP6" s="316"/>
      <c r="AQ6" s="316"/>
      <c r="AR6" s="316"/>
      <c r="AS6" s="316"/>
      <c r="AT6" s="317"/>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313"/>
      <c r="C7" s="313"/>
      <c r="D7" s="314"/>
      <c r="E7" s="305"/>
      <c r="F7" s="306"/>
      <c r="G7" s="306"/>
      <c r="H7" s="306"/>
      <c r="I7" s="307"/>
      <c r="J7" s="291"/>
      <c r="K7" s="292"/>
      <c r="L7" s="292"/>
      <c r="M7" s="292"/>
      <c r="N7" s="292"/>
      <c r="O7" s="294"/>
      <c r="P7" s="291"/>
      <c r="Q7" s="292"/>
      <c r="R7" s="292"/>
      <c r="S7" s="292"/>
      <c r="T7" s="292"/>
      <c r="U7" s="294"/>
      <c r="V7" s="291"/>
      <c r="W7" s="292"/>
      <c r="X7" s="292"/>
      <c r="Y7" s="292"/>
      <c r="Z7" s="292"/>
      <c r="AA7" s="294"/>
      <c r="AB7" s="291"/>
      <c r="AC7" s="292"/>
      <c r="AD7" s="292"/>
      <c r="AE7" s="292"/>
      <c r="AF7" s="292"/>
      <c r="AG7" s="294"/>
      <c r="AH7" s="282"/>
      <c r="AI7" s="283"/>
      <c r="AJ7" s="283"/>
      <c r="AK7" s="283"/>
      <c r="AL7" s="283"/>
      <c r="AM7" s="284"/>
      <c r="AN7" s="84"/>
      <c r="AO7" s="318"/>
      <c r="AP7" s="319"/>
      <c r="AQ7" s="319"/>
      <c r="AR7" s="319"/>
      <c r="AS7" s="319"/>
      <c r="AT7" s="320"/>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313"/>
      <c r="C8" s="313"/>
      <c r="D8" s="314"/>
      <c r="E8" s="305"/>
      <c r="F8" s="306"/>
      <c r="G8" s="306"/>
      <c r="H8" s="306"/>
      <c r="I8" s="307"/>
      <c r="J8" s="291" t="str">
        <f>IF(AND('Mapa final'!$J$29="Muy Alta",'Mapa final'!$N$29="Leve"),CONCATENATE("R",'Mapa final'!$A$29),"")</f>
        <v/>
      </c>
      <c r="K8" s="292"/>
      <c r="L8" s="293" t="str">
        <f>IF(AND('Mapa final'!$J$35="Muy Alta",'Mapa final'!$N$35="Leve"),CONCATENATE("R",'Mapa final'!$A$35),"")</f>
        <v/>
      </c>
      <c r="M8" s="293"/>
      <c r="N8" s="293" t="str">
        <f>IF(AND('Mapa final'!$J$41="Muy Alta",'Mapa final'!$N$41="Leve"),CONCATENATE("R",'Mapa final'!$A$41),"")</f>
        <v/>
      </c>
      <c r="O8" s="294"/>
      <c r="P8" s="291" t="str">
        <f>IF(AND('Mapa final'!$J$29="Muy Alta",'Mapa final'!$N$29="Menor"),CONCATENATE("R",'Mapa final'!$A$29),"")</f>
        <v/>
      </c>
      <c r="Q8" s="292"/>
      <c r="R8" s="293" t="str">
        <f>IF(AND('Mapa final'!$J$35="Muy Alta",'Mapa final'!$N$35="Menor"),CONCATENATE("R",'Mapa final'!$A$35),"")</f>
        <v/>
      </c>
      <c r="S8" s="293"/>
      <c r="T8" s="293" t="str">
        <f>IF(AND('Mapa final'!$J$41="Muy Alta",'Mapa final'!$N$41="Menor"),CONCATENATE("R",'Mapa final'!$A$41),"")</f>
        <v/>
      </c>
      <c r="U8" s="294"/>
      <c r="V8" s="291" t="str">
        <f>IF(AND('Mapa final'!$J$29="Muy Alta",'Mapa final'!$N$29="Moderado"),CONCATENATE("R",'Mapa final'!$A$29),"")</f>
        <v/>
      </c>
      <c r="W8" s="292"/>
      <c r="X8" s="293" t="str">
        <f>IF(AND('Mapa final'!$J$35="Muy Alta",'Mapa final'!$N$35="Moderado"),CONCATENATE("R",'Mapa final'!$A$35),"")</f>
        <v/>
      </c>
      <c r="Y8" s="293"/>
      <c r="Z8" s="293" t="str">
        <f>IF(AND('Mapa final'!$J$41="Muy Alta",'Mapa final'!$N$41="Moderado"),CONCATENATE("R",'Mapa final'!$A$41),"")</f>
        <v/>
      </c>
      <c r="AA8" s="294"/>
      <c r="AB8" s="291" t="str">
        <f>IF(AND('Mapa final'!$J$29="Muy Alta",'Mapa final'!$N$29="Mayor"),CONCATENATE("R",'Mapa final'!$A$29),"")</f>
        <v/>
      </c>
      <c r="AC8" s="292"/>
      <c r="AD8" s="293" t="str">
        <f>IF(AND('Mapa final'!$J$35="Muy Alta",'Mapa final'!$N$35="Mayor"),CONCATENATE("R",'Mapa final'!$A$35),"")</f>
        <v/>
      </c>
      <c r="AE8" s="293"/>
      <c r="AF8" s="293" t="str">
        <f>IF(AND('Mapa final'!$J$41="Muy Alta",'Mapa final'!$N$41="Mayor"),CONCATENATE("R",'Mapa final'!$A$41),"")</f>
        <v/>
      </c>
      <c r="AG8" s="294"/>
      <c r="AH8" s="282" t="str">
        <f>IF(AND('Mapa final'!$J$29="Muy Alta",'Mapa final'!$N$29="Catastrófico"),CONCATENATE("R",'Mapa final'!$A$29),"")</f>
        <v/>
      </c>
      <c r="AI8" s="283"/>
      <c r="AJ8" s="283" t="str">
        <f>IF(AND('Mapa final'!$J$35="Muy Alta",'Mapa final'!$N$35="Catastrófico"),CONCATENATE("R",'Mapa final'!$A$35),"")</f>
        <v/>
      </c>
      <c r="AK8" s="283"/>
      <c r="AL8" s="283" t="str">
        <f>IF(AND('Mapa final'!$J$41="Muy Alta",'Mapa final'!$N$41="Catastrófico"),CONCATENATE("R",'Mapa final'!$A$41),"")</f>
        <v/>
      </c>
      <c r="AM8" s="284"/>
      <c r="AN8" s="84"/>
      <c r="AO8" s="318"/>
      <c r="AP8" s="319"/>
      <c r="AQ8" s="319"/>
      <c r="AR8" s="319"/>
      <c r="AS8" s="319"/>
      <c r="AT8" s="320"/>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313"/>
      <c r="C9" s="313"/>
      <c r="D9" s="314"/>
      <c r="E9" s="305"/>
      <c r="F9" s="306"/>
      <c r="G9" s="306"/>
      <c r="H9" s="306"/>
      <c r="I9" s="307"/>
      <c r="J9" s="291"/>
      <c r="K9" s="292"/>
      <c r="L9" s="293"/>
      <c r="M9" s="293"/>
      <c r="N9" s="293"/>
      <c r="O9" s="294"/>
      <c r="P9" s="291"/>
      <c r="Q9" s="292"/>
      <c r="R9" s="293"/>
      <c r="S9" s="293"/>
      <c r="T9" s="293"/>
      <c r="U9" s="294"/>
      <c r="V9" s="291"/>
      <c r="W9" s="292"/>
      <c r="X9" s="293"/>
      <c r="Y9" s="293"/>
      <c r="Z9" s="293"/>
      <c r="AA9" s="294"/>
      <c r="AB9" s="291"/>
      <c r="AC9" s="292"/>
      <c r="AD9" s="293"/>
      <c r="AE9" s="293"/>
      <c r="AF9" s="293"/>
      <c r="AG9" s="294"/>
      <c r="AH9" s="282"/>
      <c r="AI9" s="283"/>
      <c r="AJ9" s="283"/>
      <c r="AK9" s="283"/>
      <c r="AL9" s="283"/>
      <c r="AM9" s="284"/>
      <c r="AN9" s="84"/>
      <c r="AO9" s="318"/>
      <c r="AP9" s="319"/>
      <c r="AQ9" s="319"/>
      <c r="AR9" s="319"/>
      <c r="AS9" s="319"/>
      <c r="AT9" s="320"/>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313"/>
      <c r="C10" s="313"/>
      <c r="D10" s="314"/>
      <c r="E10" s="305"/>
      <c r="F10" s="306"/>
      <c r="G10" s="306"/>
      <c r="H10" s="306"/>
      <c r="I10" s="307"/>
      <c r="J10" s="291" t="str">
        <f>IF(AND('Mapa final'!$J$47="Muy Alta",'Mapa final'!$N$47="Leve"),CONCATENATE("R",'Mapa final'!$A$47),"")</f>
        <v/>
      </c>
      <c r="K10" s="292"/>
      <c r="L10" s="293" t="str">
        <f>IF(AND('Mapa final'!$J$53="Muy Alta",'Mapa final'!$N$53="Leve"),CONCATENATE("R",'Mapa final'!$A$53),"")</f>
        <v/>
      </c>
      <c r="M10" s="293"/>
      <c r="N10" s="293" t="str">
        <f>IF(AND('Mapa final'!$J$59="Muy Alta",'Mapa final'!$N$59="Leve"),CONCATENATE("R",'Mapa final'!$A$59),"")</f>
        <v/>
      </c>
      <c r="O10" s="294"/>
      <c r="P10" s="291" t="str">
        <f>IF(AND('Mapa final'!$J$47="Muy Alta",'Mapa final'!$N$47="Menor"),CONCATENATE("R",'Mapa final'!$A$47),"")</f>
        <v/>
      </c>
      <c r="Q10" s="292"/>
      <c r="R10" s="293" t="str">
        <f>IF(AND('Mapa final'!$J$53="Muy Alta",'Mapa final'!$N$53="Menor"),CONCATENATE("R",'Mapa final'!$A$53),"")</f>
        <v/>
      </c>
      <c r="S10" s="293"/>
      <c r="T10" s="293" t="str">
        <f>IF(AND('Mapa final'!$J$59="Muy Alta",'Mapa final'!$N$59="Menor"),CONCATENATE("R",'Mapa final'!$A$59),"")</f>
        <v/>
      </c>
      <c r="U10" s="294"/>
      <c r="V10" s="291" t="str">
        <f>IF(AND('Mapa final'!$J$47="Muy Alta",'Mapa final'!$N$47="Moderado"),CONCATENATE("R",'Mapa final'!$A$47),"")</f>
        <v/>
      </c>
      <c r="W10" s="292"/>
      <c r="X10" s="293" t="str">
        <f>IF(AND('Mapa final'!$J$53="Muy Alta",'Mapa final'!$N$53="Moderado"),CONCATENATE("R",'Mapa final'!$A$53),"")</f>
        <v/>
      </c>
      <c r="Y10" s="293"/>
      <c r="Z10" s="293" t="str">
        <f>IF(AND('Mapa final'!$J$59="Muy Alta",'Mapa final'!$N$59="Moderado"),CONCATENATE("R",'Mapa final'!$A$59),"")</f>
        <v/>
      </c>
      <c r="AA10" s="294"/>
      <c r="AB10" s="291" t="str">
        <f>IF(AND('Mapa final'!$J$47="Muy Alta",'Mapa final'!$N$47="Mayor"),CONCATENATE("R",'Mapa final'!$A$47),"")</f>
        <v/>
      </c>
      <c r="AC10" s="292"/>
      <c r="AD10" s="293" t="str">
        <f>IF(AND('Mapa final'!$J$53="Muy Alta",'Mapa final'!$N$53="Mayor"),CONCATENATE("R",'Mapa final'!$A$53),"")</f>
        <v/>
      </c>
      <c r="AE10" s="293"/>
      <c r="AF10" s="293" t="str">
        <f>IF(AND('Mapa final'!$J$59="Muy Alta",'Mapa final'!$N$59="Mayor"),CONCATENATE("R",'Mapa final'!$A$59),"")</f>
        <v/>
      </c>
      <c r="AG10" s="294"/>
      <c r="AH10" s="282" t="str">
        <f>IF(AND('Mapa final'!$J$47="Muy Alta",'Mapa final'!$N$47="Catastrófico"),CONCATENATE("R",'Mapa final'!$A$47),"")</f>
        <v/>
      </c>
      <c r="AI10" s="283"/>
      <c r="AJ10" s="283" t="str">
        <f>IF(AND('Mapa final'!$J$53="Muy Alta",'Mapa final'!$N$53="Catastrófico"),CONCATENATE("R",'Mapa final'!$A$53),"")</f>
        <v/>
      </c>
      <c r="AK10" s="283"/>
      <c r="AL10" s="283" t="str">
        <f>IF(AND('Mapa final'!$J$59="Muy Alta",'Mapa final'!$N$59="Catastrófico"),CONCATENATE("R",'Mapa final'!$A$59),"")</f>
        <v/>
      </c>
      <c r="AM10" s="284"/>
      <c r="AN10" s="84"/>
      <c r="AO10" s="318"/>
      <c r="AP10" s="319"/>
      <c r="AQ10" s="319"/>
      <c r="AR10" s="319"/>
      <c r="AS10" s="319"/>
      <c r="AT10" s="320"/>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313"/>
      <c r="C11" s="313"/>
      <c r="D11" s="314"/>
      <c r="E11" s="305"/>
      <c r="F11" s="306"/>
      <c r="G11" s="306"/>
      <c r="H11" s="306"/>
      <c r="I11" s="307"/>
      <c r="J11" s="291"/>
      <c r="K11" s="292"/>
      <c r="L11" s="293"/>
      <c r="M11" s="293"/>
      <c r="N11" s="293"/>
      <c r="O11" s="294"/>
      <c r="P11" s="291"/>
      <c r="Q11" s="292"/>
      <c r="R11" s="293"/>
      <c r="S11" s="293"/>
      <c r="T11" s="293"/>
      <c r="U11" s="294"/>
      <c r="V11" s="291"/>
      <c r="W11" s="292"/>
      <c r="X11" s="293"/>
      <c r="Y11" s="293"/>
      <c r="Z11" s="293"/>
      <c r="AA11" s="294"/>
      <c r="AB11" s="291"/>
      <c r="AC11" s="292"/>
      <c r="AD11" s="293"/>
      <c r="AE11" s="293"/>
      <c r="AF11" s="293"/>
      <c r="AG11" s="294"/>
      <c r="AH11" s="282"/>
      <c r="AI11" s="283"/>
      <c r="AJ11" s="283"/>
      <c r="AK11" s="283"/>
      <c r="AL11" s="283"/>
      <c r="AM11" s="284"/>
      <c r="AN11" s="84"/>
      <c r="AO11" s="318"/>
      <c r="AP11" s="319"/>
      <c r="AQ11" s="319"/>
      <c r="AR11" s="319"/>
      <c r="AS11" s="319"/>
      <c r="AT11" s="320"/>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313"/>
      <c r="C12" s="313"/>
      <c r="D12" s="314"/>
      <c r="E12" s="305"/>
      <c r="F12" s="306"/>
      <c r="G12" s="306"/>
      <c r="H12" s="306"/>
      <c r="I12" s="307"/>
      <c r="J12" s="291" t="str">
        <f>IF(AND('Mapa final'!$J$65="Muy Alta",'Mapa final'!$N$65="Leve"),CONCATENATE("R",'Mapa final'!$A$65),"")</f>
        <v/>
      </c>
      <c r="K12" s="292"/>
      <c r="L12" s="293" t="str">
        <f>IF(AND('Mapa final'!$J$71="Muy Alta",'Mapa final'!$N$71="Leve"),CONCATENATE("R",'Mapa final'!$A$71),"")</f>
        <v/>
      </c>
      <c r="M12" s="293"/>
      <c r="N12" s="293" t="str">
        <f>IF(AND('Mapa final'!$J$77="Muy Alta",'Mapa final'!$N$77="Leve"),CONCATENATE("R",'Mapa final'!$A$77),"")</f>
        <v/>
      </c>
      <c r="O12" s="294"/>
      <c r="P12" s="291" t="str">
        <f>IF(AND('Mapa final'!$J$65="Muy Alta",'Mapa final'!$N$65="Menor"),CONCATENATE("R",'Mapa final'!$A$65),"")</f>
        <v/>
      </c>
      <c r="Q12" s="292"/>
      <c r="R12" s="293" t="str">
        <f>IF(AND('Mapa final'!$J$71="Muy Alta",'Mapa final'!$N$71="Menor"),CONCATENATE("R",'Mapa final'!$A$71),"")</f>
        <v/>
      </c>
      <c r="S12" s="293"/>
      <c r="T12" s="293" t="str">
        <f>IF(AND('Mapa final'!$J$77="Muy Alta",'Mapa final'!$N$77="Menor"),CONCATENATE("R",'Mapa final'!$A$77),"")</f>
        <v/>
      </c>
      <c r="U12" s="294"/>
      <c r="V12" s="291" t="str">
        <f>IF(AND('Mapa final'!$J$65="Muy Alta",'Mapa final'!$N$65="Moderado"),CONCATENATE("R",'Mapa final'!$A$65),"")</f>
        <v/>
      </c>
      <c r="W12" s="292"/>
      <c r="X12" s="293" t="str">
        <f>IF(AND('Mapa final'!$J$71="Muy Alta",'Mapa final'!$N$71="Moderado"),CONCATENATE("R",'Mapa final'!$A$71),"")</f>
        <v/>
      </c>
      <c r="Y12" s="293"/>
      <c r="Z12" s="293" t="str">
        <f>IF(AND('Mapa final'!$J$77="Muy Alta",'Mapa final'!$N$77="Moderado"),CONCATENATE("R",'Mapa final'!$A$77),"")</f>
        <v/>
      </c>
      <c r="AA12" s="294"/>
      <c r="AB12" s="291" t="str">
        <f>IF(AND('Mapa final'!$J$65="Muy Alta",'Mapa final'!$N$65="Mayor"),CONCATENATE("R",'Mapa final'!$A$65),"")</f>
        <v/>
      </c>
      <c r="AC12" s="292"/>
      <c r="AD12" s="293" t="str">
        <f>IF(AND('Mapa final'!$J$71="Muy Alta",'Mapa final'!$N$71="Mayor"),CONCATENATE("R",'Mapa final'!$A$71),"")</f>
        <v/>
      </c>
      <c r="AE12" s="293"/>
      <c r="AF12" s="293" t="str">
        <f>IF(AND('Mapa final'!$J$77="Muy Alta",'Mapa final'!$N$77="Mayor"),CONCATENATE("R",'Mapa final'!$A$77),"")</f>
        <v/>
      </c>
      <c r="AG12" s="294"/>
      <c r="AH12" s="282" t="str">
        <f>IF(AND('Mapa final'!$J$65="Muy Alta",'Mapa final'!$N$65="Catastrófico"),CONCATENATE("R",'Mapa final'!$A$65),"")</f>
        <v/>
      </c>
      <c r="AI12" s="283"/>
      <c r="AJ12" s="283" t="str">
        <f>IF(AND('Mapa final'!$J$71="Muy Alta",'Mapa final'!$N$71="Catastrófico"),CONCATENATE("R",'Mapa final'!$A$71),"")</f>
        <v/>
      </c>
      <c r="AK12" s="283"/>
      <c r="AL12" s="283" t="str">
        <f>IF(AND('Mapa final'!$J$77="Muy Alta",'Mapa final'!$N$77="Catastrófico"),CONCATENATE("R",'Mapa final'!$A$77),"")</f>
        <v/>
      </c>
      <c r="AM12" s="284"/>
      <c r="AN12" s="84"/>
      <c r="AO12" s="318"/>
      <c r="AP12" s="319"/>
      <c r="AQ12" s="319"/>
      <c r="AR12" s="319"/>
      <c r="AS12" s="319"/>
      <c r="AT12" s="320"/>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313"/>
      <c r="C13" s="313"/>
      <c r="D13" s="314"/>
      <c r="E13" s="308"/>
      <c r="F13" s="309"/>
      <c r="G13" s="309"/>
      <c r="H13" s="309"/>
      <c r="I13" s="310"/>
      <c r="J13" s="291"/>
      <c r="K13" s="292"/>
      <c r="L13" s="292"/>
      <c r="M13" s="292"/>
      <c r="N13" s="292"/>
      <c r="O13" s="294"/>
      <c r="P13" s="291"/>
      <c r="Q13" s="292"/>
      <c r="R13" s="292"/>
      <c r="S13" s="292"/>
      <c r="T13" s="292"/>
      <c r="U13" s="294"/>
      <c r="V13" s="291"/>
      <c r="W13" s="292"/>
      <c r="X13" s="292"/>
      <c r="Y13" s="292"/>
      <c r="Z13" s="292"/>
      <c r="AA13" s="294"/>
      <c r="AB13" s="291"/>
      <c r="AC13" s="292"/>
      <c r="AD13" s="292"/>
      <c r="AE13" s="292"/>
      <c r="AF13" s="292"/>
      <c r="AG13" s="294"/>
      <c r="AH13" s="285"/>
      <c r="AI13" s="286"/>
      <c r="AJ13" s="286"/>
      <c r="AK13" s="286"/>
      <c r="AL13" s="286"/>
      <c r="AM13" s="287"/>
      <c r="AN13" s="84"/>
      <c r="AO13" s="321"/>
      <c r="AP13" s="322"/>
      <c r="AQ13" s="322"/>
      <c r="AR13" s="322"/>
      <c r="AS13" s="322"/>
      <c r="AT13" s="323"/>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313"/>
      <c r="C14" s="313"/>
      <c r="D14" s="314"/>
      <c r="E14" s="302" t="s">
        <v>107</v>
      </c>
      <c r="F14" s="303"/>
      <c r="G14" s="303"/>
      <c r="H14" s="303"/>
      <c r="I14" s="303"/>
      <c r="J14" s="279" t="str">
        <f>IF(AND('Mapa final'!$J$11="Alta",'Mapa final'!$N$11="Leve"),CONCATENATE("R",'Mapa final'!$A$11),"")</f>
        <v/>
      </c>
      <c r="K14" s="280"/>
      <c r="L14" s="280" t="str">
        <f>IF(AND('Mapa final'!$J$17="Alta",'Mapa final'!$N$17="Leve"),CONCATENATE("R",'Mapa final'!$A$17),"")</f>
        <v/>
      </c>
      <c r="M14" s="280"/>
      <c r="N14" s="280" t="str">
        <f>IF(AND('Mapa final'!$J$23="Alta",'Mapa final'!$N$23="Leve"),CONCATENATE("R",'Mapa final'!$A$23),"")</f>
        <v/>
      </c>
      <c r="O14" s="281"/>
      <c r="P14" s="279" t="str">
        <f>IF(AND('Mapa final'!$J$11="Alta",'Mapa final'!$N$11="Menor"),CONCATENATE("R",'Mapa final'!$A$11),"")</f>
        <v/>
      </c>
      <c r="Q14" s="280"/>
      <c r="R14" s="280" t="str">
        <f>IF(AND('Mapa final'!$J$17="Alta",'Mapa final'!$N$17="Menor"),CONCATENATE("R",'Mapa final'!$A$17),"")</f>
        <v/>
      </c>
      <c r="S14" s="280"/>
      <c r="T14" s="280" t="str">
        <f>IF(AND('Mapa final'!$J$23="Alta",'Mapa final'!$N$23="Menor"),CONCATENATE("R",'Mapa final'!$A$23),"")</f>
        <v/>
      </c>
      <c r="U14" s="281"/>
      <c r="V14" s="298" t="str">
        <f>IF(AND('Mapa final'!$J$11="Alta",'Mapa final'!$N$11="Moderado"),CONCATENATE("R",'Mapa final'!$A$11),"")</f>
        <v/>
      </c>
      <c r="W14" s="299"/>
      <c r="X14" s="299" t="str">
        <f>IF(AND('Mapa final'!$J$17="Alta",'Mapa final'!$N$17="Moderado"),CONCATENATE("R",'Mapa final'!$A$17),"")</f>
        <v/>
      </c>
      <c r="Y14" s="299"/>
      <c r="Z14" s="299" t="str">
        <f>IF(AND('Mapa final'!$J$23="Alta",'Mapa final'!$N$23="Moderado"),CONCATENATE("R",'Mapa final'!$A$23),"")</f>
        <v/>
      </c>
      <c r="AA14" s="300"/>
      <c r="AB14" s="298" t="str">
        <f>IF(AND('Mapa final'!$J$11="Alta",'Mapa final'!$N$11="Mayor"),CONCATENATE("R",'Mapa final'!$A$11),"")</f>
        <v/>
      </c>
      <c r="AC14" s="299"/>
      <c r="AD14" s="299" t="str">
        <f>IF(AND('Mapa final'!$J$17="Alta",'Mapa final'!$N$17="Mayor"),CONCATENATE("R",'Mapa final'!$A$17),"")</f>
        <v/>
      </c>
      <c r="AE14" s="299"/>
      <c r="AF14" s="299" t="str">
        <f>IF(AND('Mapa final'!$J$23="Alta",'Mapa final'!$N$23="Mayor"),CONCATENATE("R",'Mapa final'!$A$23),"")</f>
        <v/>
      </c>
      <c r="AG14" s="300"/>
      <c r="AH14" s="288" t="str">
        <f>IF(AND('Mapa final'!$J$11="Alta",'Mapa final'!$N$11="Catastrófico"),CONCATENATE("R",'Mapa final'!$A$11),"")</f>
        <v/>
      </c>
      <c r="AI14" s="289"/>
      <c r="AJ14" s="289" t="str">
        <f>IF(AND('Mapa final'!$J$17="Alta",'Mapa final'!$N$17="Catastrófico"),CONCATENATE("R",'Mapa final'!$A$17),"")</f>
        <v/>
      </c>
      <c r="AK14" s="289"/>
      <c r="AL14" s="289" t="str">
        <f>IF(AND('Mapa final'!$J$23="Alta",'Mapa final'!$N$23="Catastrófico"),CONCATENATE("R",'Mapa final'!$A$23),"")</f>
        <v/>
      </c>
      <c r="AM14" s="290"/>
      <c r="AN14" s="84"/>
      <c r="AO14" s="324" t="s">
        <v>77</v>
      </c>
      <c r="AP14" s="325"/>
      <c r="AQ14" s="325"/>
      <c r="AR14" s="325"/>
      <c r="AS14" s="325"/>
      <c r="AT14" s="326"/>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313"/>
      <c r="C15" s="313"/>
      <c r="D15" s="314"/>
      <c r="E15" s="305"/>
      <c r="F15" s="306"/>
      <c r="G15" s="306"/>
      <c r="H15" s="306"/>
      <c r="I15" s="311"/>
      <c r="J15" s="273"/>
      <c r="K15" s="274"/>
      <c r="L15" s="274"/>
      <c r="M15" s="274"/>
      <c r="N15" s="274"/>
      <c r="O15" s="275"/>
      <c r="P15" s="273"/>
      <c r="Q15" s="274"/>
      <c r="R15" s="274"/>
      <c r="S15" s="274"/>
      <c r="T15" s="274"/>
      <c r="U15" s="275"/>
      <c r="V15" s="291"/>
      <c r="W15" s="292"/>
      <c r="X15" s="292"/>
      <c r="Y15" s="292"/>
      <c r="Z15" s="292"/>
      <c r="AA15" s="294"/>
      <c r="AB15" s="291"/>
      <c r="AC15" s="292"/>
      <c r="AD15" s="292"/>
      <c r="AE15" s="292"/>
      <c r="AF15" s="292"/>
      <c r="AG15" s="294"/>
      <c r="AH15" s="282"/>
      <c r="AI15" s="283"/>
      <c r="AJ15" s="283"/>
      <c r="AK15" s="283"/>
      <c r="AL15" s="283"/>
      <c r="AM15" s="284"/>
      <c r="AN15" s="84"/>
      <c r="AO15" s="327"/>
      <c r="AP15" s="328"/>
      <c r="AQ15" s="328"/>
      <c r="AR15" s="328"/>
      <c r="AS15" s="328"/>
      <c r="AT15" s="329"/>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313"/>
      <c r="C16" s="313"/>
      <c r="D16" s="314"/>
      <c r="E16" s="305"/>
      <c r="F16" s="306"/>
      <c r="G16" s="306"/>
      <c r="H16" s="306"/>
      <c r="I16" s="311"/>
      <c r="J16" s="273" t="str">
        <f>IF(AND('Mapa final'!$J$29="Alta",'Mapa final'!$N$29="Leve"),CONCATENATE("R",'Mapa final'!$A$29),"")</f>
        <v/>
      </c>
      <c r="K16" s="274"/>
      <c r="L16" s="274" t="str">
        <f>IF(AND('Mapa final'!$J$35="Alta",'Mapa final'!$N$35="Leve"),CONCATENATE("R",'Mapa final'!$A$35),"")</f>
        <v/>
      </c>
      <c r="M16" s="274"/>
      <c r="N16" s="274" t="str">
        <f>IF(AND('Mapa final'!$J$41="Alta",'Mapa final'!$N$41="Leve"),CONCATENATE("R",'Mapa final'!$A$41),"")</f>
        <v/>
      </c>
      <c r="O16" s="275"/>
      <c r="P16" s="273" t="str">
        <f>IF(AND('Mapa final'!$J$29="Alta",'Mapa final'!$N$29="Menor"),CONCATENATE("R",'Mapa final'!$A$29),"")</f>
        <v/>
      </c>
      <c r="Q16" s="274"/>
      <c r="R16" s="274" t="str">
        <f>IF(AND('Mapa final'!$J$35="Alta",'Mapa final'!$N$35="Menor"),CONCATENATE("R",'Mapa final'!$A$35),"")</f>
        <v/>
      </c>
      <c r="S16" s="274"/>
      <c r="T16" s="274" t="str">
        <f>IF(AND('Mapa final'!$J$41="Alta",'Mapa final'!$N$41="Menor"),CONCATENATE("R",'Mapa final'!$A$41),"")</f>
        <v/>
      </c>
      <c r="U16" s="275"/>
      <c r="V16" s="291" t="str">
        <f>IF(AND('Mapa final'!$J$29="Alta",'Mapa final'!$N$29="Moderado"),CONCATENATE("R",'Mapa final'!$A$29),"")</f>
        <v/>
      </c>
      <c r="W16" s="292"/>
      <c r="X16" s="293" t="str">
        <f>IF(AND('Mapa final'!$J$35="Alta",'Mapa final'!$N$35="Moderado"),CONCATENATE("R",'Mapa final'!$A$35),"")</f>
        <v/>
      </c>
      <c r="Y16" s="293"/>
      <c r="Z16" s="293" t="str">
        <f>IF(AND('Mapa final'!$J$41="Alta",'Mapa final'!$N$41="Moderado"),CONCATENATE("R",'Mapa final'!$A$41),"")</f>
        <v/>
      </c>
      <c r="AA16" s="294"/>
      <c r="AB16" s="291" t="str">
        <f>IF(AND('Mapa final'!$J$29="Alta",'Mapa final'!$N$29="Mayor"),CONCATENATE("R",'Mapa final'!$A$29),"")</f>
        <v/>
      </c>
      <c r="AC16" s="292"/>
      <c r="AD16" s="293" t="str">
        <f>IF(AND('Mapa final'!$J$35="Alta",'Mapa final'!$N$35="Mayor"),CONCATENATE("R",'Mapa final'!$A$35),"")</f>
        <v/>
      </c>
      <c r="AE16" s="293"/>
      <c r="AF16" s="293" t="str">
        <f>IF(AND('Mapa final'!$J$41="Alta",'Mapa final'!$N$41="Mayor"),CONCATENATE("R",'Mapa final'!$A$41),"")</f>
        <v/>
      </c>
      <c r="AG16" s="294"/>
      <c r="AH16" s="282" t="str">
        <f>IF(AND('Mapa final'!$J$29="Alta",'Mapa final'!$N$29="Catastrófico"),CONCATENATE("R",'Mapa final'!$A$29),"")</f>
        <v/>
      </c>
      <c r="AI16" s="283"/>
      <c r="AJ16" s="283" t="str">
        <f>IF(AND('Mapa final'!$J$35="Alta",'Mapa final'!$N$35="Catastrófico"),CONCATENATE("R",'Mapa final'!$A$35),"")</f>
        <v/>
      </c>
      <c r="AK16" s="283"/>
      <c r="AL16" s="283" t="str">
        <f>IF(AND('Mapa final'!$J$41="Alta",'Mapa final'!$N$41="Catastrófico"),CONCATENATE("R",'Mapa final'!$A$41),"")</f>
        <v/>
      </c>
      <c r="AM16" s="284"/>
      <c r="AN16" s="84"/>
      <c r="AO16" s="327"/>
      <c r="AP16" s="328"/>
      <c r="AQ16" s="328"/>
      <c r="AR16" s="328"/>
      <c r="AS16" s="328"/>
      <c r="AT16" s="329"/>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313"/>
      <c r="C17" s="313"/>
      <c r="D17" s="314"/>
      <c r="E17" s="305"/>
      <c r="F17" s="306"/>
      <c r="G17" s="306"/>
      <c r="H17" s="306"/>
      <c r="I17" s="311"/>
      <c r="J17" s="273"/>
      <c r="K17" s="274"/>
      <c r="L17" s="274"/>
      <c r="M17" s="274"/>
      <c r="N17" s="274"/>
      <c r="O17" s="275"/>
      <c r="P17" s="273"/>
      <c r="Q17" s="274"/>
      <c r="R17" s="274"/>
      <c r="S17" s="274"/>
      <c r="T17" s="274"/>
      <c r="U17" s="275"/>
      <c r="V17" s="291"/>
      <c r="W17" s="292"/>
      <c r="X17" s="293"/>
      <c r="Y17" s="293"/>
      <c r="Z17" s="293"/>
      <c r="AA17" s="294"/>
      <c r="AB17" s="291"/>
      <c r="AC17" s="292"/>
      <c r="AD17" s="293"/>
      <c r="AE17" s="293"/>
      <c r="AF17" s="293"/>
      <c r="AG17" s="294"/>
      <c r="AH17" s="282"/>
      <c r="AI17" s="283"/>
      <c r="AJ17" s="283"/>
      <c r="AK17" s="283"/>
      <c r="AL17" s="283"/>
      <c r="AM17" s="284"/>
      <c r="AN17" s="84"/>
      <c r="AO17" s="327"/>
      <c r="AP17" s="328"/>
      <c r="AQ17" s="328"/>
      <c r="AR17" s="328"/>
      <c r="AS17" s="328"/>
      <c r="AT17" s="329"/>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313"/>
      <c r="C18" s="313"/>
      <c r="D18" s="314"/>
      <c r="E18" s="305"/>
      <c r="F18" s="306"/>
      <c r="G18" s="306"/>
      <c r="H18" s="306"/>
      <c r="I18" s="311"/>
      <c r="J18" s="273" t="str">
        <f>IF(AND('Mapa final'!$J$47="Alta",'Mapa final'!$N$47="Leve"),CONCATENATE("R",'Mapa final'!$A$47),"")</f>
        <v/>
      </c>
      <c r="K18" s="274"/>
      <c r="L18" s="274" t="str">
        <f>IF(AND('Mapa final'!$J$53="Alta",'Mapa final'!$N$53="Leve"),CONCATENATE("R",'Mapa final'!$A$53),"")</f>
        <v/>
      </c>
      <c r="M18" s="274"/>
      <c r="N18" s="274" t="str">
        <f>IF(AND('Mapa final'!$J$59="Alta",'Mapa final'!$N$59="Leve"),CONCATENATE("R",'Mapa final'!$A$59),"")</f>
        <v/>
      </c>
      <c r="O18" s="275"/>
      <c r="P18" s="273" t="str">
        <f>IF(AND('Mapa final'!$J$47="Alta",'Mapa final'!$N$47="Menor"),CONCATENATE("R",'Mapa final'!$A$47),"")</f>
        <v/>
      </c>
      <c r="Q18" s="274"/>
      <c r="R18" s="274" t="str">
        <f>IF(AND('Mapa final'!$J$53="Alta",'Mapa final'!$N$53="Menor"),CONCATENATE("R",'Mapa final'!$A$53),"")</f>
        <v/>
      </c>
      <c r="S18" s="274"/>
      <c r="T18" s="274" t="str">
        <f>IF(AND('Mapa final'!$J$59="Alta",'Mapa final'!$N$59="Menor"),CONCATENATE("R",'Mapa final'!$A$59),"")</f>
        <v/>
      </c>
      <c r="U18" s="275"/>
      <c r="V18" s="291" t="str">
        <f>IF(AND('Mapa final'!$J$47="Alta",'Mapa final'!$N$47="Moderado"),CONCATENATE("R",'Mapa final'!$A$47),"")</f>
        <v/>
      </c>
      <c r="W18" s="292"/>
      <c r="X18" s="293" t="str">
        <f>IF(AND('Mapa final'!$J$53="Alta",'Mapa final'!$N$53="Moderado"),CONCATENATE("R",'Mapa final'!$A$53),"")</f>
        <v/>
      </c>
      <c r="Y18" s="293"/>
      <c r="Z18" s="293" t="str">
        <f>IF(AND('Mapa final'!$J$59="Alta",'Mapa final'!$N$59="Moderado"),CONCATENATE("R",'Mapa final'!$A$59),"")</f>
        <v/>
      </c>
      <c r="AA18" s="294"/>
      <c r="AB18" s="291" t="str">
        <f>IF(AND('Mapa final'!$J$47="Alta",'Mapa final'!$N$47="Mayor"),CONCATENATE("R",'Mapa final'!$A$47),"")</f>
        <v/>
      </c>
      <c r="AC18" s="292"/>
      <c r="AD18" s="293" t="str">
        <f>IF(AND('Mapa final'!$J$53="Alta",'Mapa final'!$N$53="Mayor"),CONCATENATE("R",'Mapa final'!$A$53),"")</f>
        <v/>
      </c>
      <c r="AE18" s="293"/>
      <c r="AF18" s="293" t="str">
        <f>IF(AND('Mapa final'!$J$59="Alta",'Mapa final'!$N$59="Mayor"),CONCATENATE("R",'Mapa final'!$A$59),"")</f>
        <v/>
      </c>
      <c r="AG18" s="294"/>
      <c r="AH18" s="282" t="str">
        <f>IF(AND('Mapa final'!$J$47="Alta",'Mapa final'!$N$47="Catastrófico"),CONCATENATE("R",'Mapa final'!$A$47),"")</f>
        <v/>
      </c>
      <c r="AI18" s="283"/>
      <c r="AJ18" s="283" t="str">
        <f>IF(AND('Mapa final'!$J$53="Alta",'Mapa final'!$N$53="Catastrófico"),CONCATENATE("R",'Mapa final'!$A$53),"")</f>
        <v/>
      </c>
      <c r="AK18" s="283"/>
      <c r="AL18" s="283" t="str">
        <f>IF(AND('Mapa final'!$J$59="Alta",'Mapa final'!$N$59="Catastrófico"),CONCATENATE("R",'Mapa final'!$A$59),"")</f>
        <v/>
      </c>
      <c r="AM18" s="284"/>
      <c r="AN18" s="84"/>
      <c r="AO18" s="327"/>
      <c r="AP18" s="328"/>
      <c r="AQ18" s="328"/>
      <c r="AR18" s="328"/>
      <c r="AS18" s="328"/>
      <c r="AT18" s="329"/>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313"/>
      <c r="C19" s="313"/>
      <c r="D19" s="314"/>
      <c r="E19" s="305"/>
      <c r="F19" s="306"/>
      <c r="G19" s="306"/>
      <c r="H19" s="306"/>
      <c r="I19" s="311"/>
      <c r="J19" s="273"/>
      <c r="K19" s="274"/>
      <c r="L19" s="274"/>
      <c r="M19" s="274"/>
      <c r="N19" s="274"/>
      <c r="O19" s="275"/>
      <c r="P19" s="273"/>
      <c r="Q19" s="274"/>
      <c r="R19" s="274"/>
      <c r="S19" s="274"/>
      <c r="T19" s="274"/>
      <c r="U19" s="275"/>
      <c r="V19" s="291"/>
      <c r="W19" s="292"/>
      <c r="X19" s="293"/>
      <c r="Y19" s="293"/>
      <c r="Z19" s="293"/>
      <c r="AA19" s="294"/>
      <c r="AB19" s="291"/>
      <c r="AC19" s="292"/>
      <c r="AD19" s="293"/>
      <c r="AE19" s="293"/>
      <c r="AF19" s="293"/>
      <c r="AG19" s="294"/>
      <c r="AH19" s="282"/>
      <c r="AI19" s="283"/>
      <c r="AJ19" s="283"/>
      <c r="AK19" s="283"/>
      <c r="AL19" s="283"/>
      <c r="AM19" s="284"/>
      <c r="AN19" s="84"/>
      <c r="AO19" s="327"/>
      <c r="AP19" s="328"/>
      <c r="AQ19" s="328"/>
      <c r="AR19" s="328"/>
      <c r="AS19" s="328"/>
      <c r="AT19" s="329"/>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313"/>
      <c r="C20" s="313"/>
      <c r="D20" s="314"/>
      <c r="E20" s="305"/>
      <c r="F20" s="306"/>
      <c r="G20" s="306"/>
      <c r="H20" s="306"/>
      <c r="I20" s="311"/>
      <c r="J20" s="273" t="str">
        <f>IF(AND('Mapa final'!$J$65="Alta",'Mapa final'!$N$65="Leve"),CONCATENATE("R",'Mapa final'!$A$65),"")</f>
        <v/>
      </c>
      <c r="K20" s="274"/>
      <c r="L20" s="274" t="str">
        <f>IF(AND('Mapa final'!$J$71="Alta",'Mapa final'!$N$71="Leve"),CONCATENATE("R",'Mapa final'!$A$71),"")</f>
        <v/>
      </c>
      <c r="M20" s="274"/>
      <c r="N20" s="274" t="str">
        <f>IF(AND('Mapa final'!$J$77="Alta",'Mapa final'!$N$77="Leve"),CONCATENATE("R",'Mapa final'!$A$77),"")</f>
        <v/>
      </c>
      <c r="O20" s="275"/>
      <c r="P20" s="273" t="str">
        <f>IF(AND('Mapa final'!$J$65="Alta",'Mapa final'!$N$65="Menor"),CONCATENATE("R",'Mapa final'!$A$65),"")</f>
        <v/>
      </c>
      <c r="Q20" s="274"/>
      <c r="R20" s="274" t="str">
        <f>IF(AND('Mapa final'!$J$71="Alta",'Mapa final'!$N$71="Menor"),CONCATENATE("R",'Mapa final'!$A$71),"")</f>
        <v/>
      </c>
      <c r="S20" s="274"/>
      <c r="T20" s="274" t="str">
        <f>IF(AND('Mapa final'!$J$77="Alta",'Mapa final'!$N$77="Menor"),CONCATENATE("R",'Mapa final'!$A$77),"")</f>
        <v/>
      </c>
      <c r="U20" s="275"/>
      <c r="V20" s="291" t="str">
        <f>IF(AND('Mapa final'!$J$65="Alta",'Mapa final'!$N$65="Moderado"),CONCATENATE("R",'Mapa final'!$A$65),"")</f>
        <v/>
      </c>
      <c r="W20" s="292"/>
      <c r="X20" s="293" t="str">
        <f>IF(AND('Mapa final'!$J$71="Alta",'Mapa final'!$N$71="Moderado"),CONCATENATE("R",'Mapa final'!$A$71),"")</f>
        <v/>
      </c>
      <c r="Y20" s="293"/>
      <c r="Z20" s="293" t="str">
        <f>IF(AND('Mapa final'!$J$77="Alta",'Mapa final'!$N$77="Moderado"),CONCATENATE("R",'Mapa final'!$A$77),"")</f>
        <v/>
      </c>
      <c r="AA20" s="294"/>
      <c r="AB20" s="291" t="str">
        <f>IF(AND('Mapa final'!$J$65="Alta",'Mapa final'!$N$65="Mayor"),CONCATENATE("R",'Mapa final'!$A$65),"")</f>
        <v/>
      </c>
      <c r="AC20" s="292"/>
      <c r="AD20" s="293" t="str">
        <f>IF(AND('Mapa final'!$J$71="Alta",'Mapa final'!$N$71="Mayor"),CONCATENATE("R",'Mapa final'!$A$71),"")</f>
        <v/>
      </c>
      <c r="AE20" s="293"/>
      <c r="AF20" s="293" t="str">
        <f>IF(AND('Mapa final'!$J$77="Alta",'Mapa final'!$N$77="Mayor"),CONCATENATE("R",'Mapa final'!$A$77),"")</f>
        <v/>
      </c>
      <c r="AG20" s="294"/>
      <c r="AH20" s="282" t="str">
        <f>IF(AND('Mapa final'!$J$65="Alta",'Mapa final'!$N$65="Catastrófico"),CONCATENATE("R",'Mapa final'!$A$65),"")</f>
        <v/>
      </c>
      <c r="AI20" s="283"/>
      <c r="AJ20" s="283" t="str">
        <f>IF(AND('Mapa final'!$J$71="Alta",'Mapa final'!$N$71="Catastrófico"),CONCATENATE("R",'Mapa final'!$A$71),"")</f>
        <v/>
      </c>
      <c r="AK20" s="283"/>
      <c r="AL20" s="283" t="str">
        <f>IF(AND('Mapa final'!$J$77="Alta",'Mapa final'!$N$77="Catastrófico"),CONCATENATE("R",'Mapa final'!$A$77),"")</f>
        <v/>
      </c>
      <c r="AM20" s="284"/>
      <c r="AN20" s="84"/>
      <c r="AO20" s="327"/>
      <c r="AP20" s="328"/>
      <c r="AQ20" s="328"/>
      <c r="AR20" s="328"/>
      <c r="AS20" s="328"/>
      <c r="AT20" s="329"/>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313"/>
      <c r="C21" s="313"/>
      <c r="D21" s="314"/>
      <c r="E21" s="308"/>
      <c r="F21" s="309"/>
      <c r="G21" s="309"/>
      <c r="H21" s="309"/>
      <c r="I21" s="309"/>
      <c r="J21" s="276"/>
      <c r="K21" s="277"/>
      <c r="L21" s="277"/>
      <c r="M21" s="277"/>
      <c r="N21" s="277"/>
      <c r="O21" s="278"/>
      <c r="P21" s="276"/>
      <c r="Q21" s="277"/>
      <c r="R21" s="277"/>
      <c r="S21" s="277"/>
      <c r="T21" s="277"/>
      <c r="U21" s="278"/>
      <c r="V21" s="295"/>
      <c r="W21" s="296"/>
      <c r="X21" s="296"/>
      <c r="Y21" s="296"/>
      <c r="Z21" s="296"/>
      <c r="AA21" s="297"/>
      <c r="AB21" s="295"/>
      <c r="AC21" s="296"/>
      <c r="AD21" s="296"/>
      <c r="AE21" s="296"/>
      <c r="AF21" s="296"/>
      <c r="AG21" s="297"/>
      <c r="AH21" s="285"/>
      <c r="AI21" s="286"/>
      <c r="AJ21" s="286"/>
      <c r="AK21" s="286"/>
      <c r="AL21" s="286"/>
      <c r="AM21" s="287"/>
      <c r="AN21" s="84"/>
      <c r="AO21" s="330"/>
      <c r="AP21" s="331"/>
      <c r="AQ21" s="331"/>
      <c r="AR21" s="331"/>
      <c r="AS21" s="331"/>
      <c r="AT21" s="332"/>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313"/>
      <c r="C22" s="313"/>
      <c r="D22" s="314"/>
      <c r="E22" s="302" t="s">
        <v>109</v>
      </c>
      <c r="F22" s="303"/>
      <c r="G22" s="303"/>
      <c r="H22" s="303"/>
      <c r="I22" s="304"/>
      <c r="J22" s="279" t="str">
        <f>IF(AND('Mapa final'!$J$11="Media",'Mapa final'!$N$11="Leve"),CONCATENATE("R",'Mapa final'!$A$11),"")</f>
        <v/>
      </c>
      <c r="K22" s="280"/>
      <c r="L22" s="280" t="str">
        <f>IF(AND('Mapa final'!$J$17="Media",'Mapa final'!$N$17="Leve"),CONCATENATE("R",'Mapa final'!$A$17),"")</f>
        <v/>
      </c>
      <c r="M22" s="280"/>
      <c r="N22" s="280" t="str">
        <f>IF(AND('Mapa final'!$J$23="Media",'Mapa final'!$N$23="Leve"),CONCATENATE("R",'Mapa final'!$A$23),"")</f>
        <v/>
      </c>
      <c r="O22" s="281"/>
      <c r="P22" s="279" t="str">
        <f>IF(AND('Mapa final'!$J$11="Media",'Mapa final'!$N$11="Menor"),CONCATENATE("R",'Mapa final'!$A$11),"")</f>
        <v/>
      </c>
      <c r="Q22" s="280"/>
      <c r="R22" s="280" t="str">
        <f>IF(AND('Mapa final'!$J$17="Media",'Mapa final'!$N$17="Menor"),CONCATENATE("R",'Mapa final'!$A$17),"")</f>
        <v/>
      </c>
      <c r="S22" s="280"/>
      <c r="T22" s="280" t="str">
        <f>IF(AND('Mapa final'!$J$23="Media",'Mapa final'!$N$23="Menor"),CONCATENATE("R",'Mapa final'!$A$23),"")</f>
        <v/>
      </c>
      <c r="U22" s="281"/>
      <c r="V22" s="279" t="str">
        <f>IF(AND('Mapa final'!$J$11="Media",'Mapa final'!$N$11="Moderado"),CONCATENATE("R",'Mapa final'!$A$11),"")</f>
        <v/>
      </c>
      <c r="W22" s="280"/>
      <c r="X22" s="280" t="str">
        <f>IF(AND('Mapa final'!$J$17="Media",'Mapa final'!$N$17="Moderado"),CONCATENATE("R",'Mapa final'!$A$17),"")</f>
        <v/>
      </c>
      <c r="Y22" s="280"/>
      <c r="Z22" s="280" t="str">
        <f>IF(AND('Mapa final'!$J$23="Media",'Mapa final'!$N$23="Moderado"),CONCATENATE("R",'Mapa final'!$A$23),"")</f>
        <v/>
      </c>
      <c r="AA22" s="281"/>
      <c r="AB22" s="298" t="str">
        <f>IF(AND('Mapa final'!$J$11="Media",'Mapa final'!$N$11="Mayor"),CONCATENATE("R",'Mapa final'!$A$11),"")</f>
        <v/>
      </c>
      <c r="AC22" s="299"/>
      <c r="AD22" s="299" t="str">
        <f>IF(AND('Mapa final'!$J$17="Media",'Mapa final'!$N$17="Mayor"),CONCATENATE("R",'Mapa final'!$A$17),"")</f>
        <v/>
      </c>
      <c r="AE22" s="299"/>
      <c r="AF22" s="299" t="str">
        <f>IF(AND('Mapa final'!$J$23="Media",'Mapa final'!$N$23="Mayor"),CONCATENATE("R",'Mapa final'!$A$23),"")</f>
        <v/>
      </c>
      <c r="AG22" s="300"/>
      <c r="AH22" s="288" t="str">
        <f>IF(AND('Mapa final'!$J$11="Media",'Mapa final'!$N$11="Catastrófico"),CONCATENATE("R",'Mapa final'!$A$11),"")</f>
        <v/>
      </c>
      <c r="AI22" s="289"/>
      <c r="AJ22" s="289" t="str">
        <f>IF(AND('Mapa final'!$J$17="Media",'Mapa final'!$N$17="Catastrófico"),CONCATENATE("R",'Mapa final'!$A$17),"")</f>
        <v/>
      </c>
      <c r="AK22" s="289"/>
      <c r="AL22" s="289" t="str">
        <f>IF(AND('Mapa final'!$J$23="Media",'Mapa final'!$N$23="Catastrófico"),CONCATENATE("R",'Mapa final'!$A$23),"")</f>
        <v/>
      </c>
      <c r="AM22" s="290"/>
      <c r="AN22" s="84"/>
      <c r="AO22" s="333" t="s">
        <v>78</v>
      </c>
      <c r="AP22" s="334"/>
      <c r="AQ22" s="334"/>
      <c r="AR22" s="334"/>
      <c r="AS22" s="334"/>
      <c r="AT22" s="335"/>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313"/>
      <c r="C23" s="313"/>
      <c r="D23" s="314"/>
      <c r="E23" s="305"/>
      <c r="F23" s="306"/>
      <c r="G23" s="306"/>
      <c r="H23" s="306"/>
      <c r="I23" s="307"/>
      <c r="J23" s="273"/>
      <c r="K23" s="274"/>
      <c r="L23" s="274"/>
      <c r="M23" s="274"/>
      <c r="N23" s="274"/>
      <c r="O23" s="275"/>
      <c r="P23" s="273"/>
      <c r="Q23" s="274"/>
      <c r="R23" s="274"/>
      <c r="S23" s="274"/>
      <c r="T23" s="274"/>
      <c r="U23" s="275"/>
      <c r="V23" s="273"/>
      <c r="W23" s="274"/>
      <c r="X23" s="274"/>
      <c r="Y23" s="274"/>
      <c r="Z23" s="274"/>
      <c r="AA23" s="275"/>
      <c r="AB23" s="291"/>
      <c r="AC23" s="292"/>
      <c r="AD23" s="292"/>
      <c r="AE23" s="292"/>
      <c r="AF23" s="292"/>
      <c r="AG23" s="294"/>
      <c r="AH23" s="282"/>
      <c r="AI23" s="283"/>
      <c r="AJ23" s="283"/>
      <c r="AK23" s="283"/>
      <c r="AL23" s="283"/>
      <c r="AM23" s="284"/>
      <c r="AN23" s="84"/>
      <c r="AO23" s="336"/>
      <c r="AP23" s="337"/>
      <c r="AQ23" s="337"/>
      <c r="AR23" s="337"/>
      <c r="AS23" s="337"/>
      <c r="AT23" s="338"/>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313"/>
      <c r="C24" s="313"/>
      <c r="D24" s="314"/>
      <c r="E24" s="305"/>
      <c r="F24" s="306"/>
      <c r="G24" s="306"/>
      <c r="H24" s="306"/>
      <c r="I24" s="307"/>
      <c r="J24" s="273" t="str">
        <f>IF(AND('Mapa final'!$J$29="Media",'Mapa final'!$N$29="Leve"),CONCATENATE("R",'Mapa final'!$A$29),"")</f>
        <v/>
      </c>
      <c r="K24" s="274"/>
      <c r="L24" s="274" t="str">
        <f>IF(AND('Mapa final'!$J$35="Media",'Mapa final'!$N$35="Leve"),CONCATENATE("R",'Mapa final'!$A$35),"")</f>
        <v/>
      </c>
      <c r="M24" s="274"/>
      <c r="N24" s="274" t="str">
        <f>IF(AND('Mapa final'!$J$41="Media",'Mapa final'!$N$41="Leve"),CONCATENATE("R",'Mapa final'!$A$41),"")</f>
        <v/>
      </c>
      <c r="O24" s="275"/>
      <c r="P24" s="273" t="str">
        <f>IF(AND('Mapa final'!$J$29="Media",'Mapa final'!$N$29="Menor"),CONCATENATE("R",'Mapa final'!$A$29),"")</f>
        <v/>
      </c>
      <c r="Q24" s="274"/>
      <c r="R24" s="274" t="str">
        <f>IF(AND('Mapa final'!$J$35="Media",'Mapa final'!$N$35="Menor"),CONCATENATE("R",'Mapa final'!$A$35),"")</f>
        <v/>
      </c>
      <c r="S24" s="274"/>
      <c r="T24" s="274" t="str">
        <f>IF(AND('Mapa final'!$J$41="Media",'Mapa final'!$N$41="Menor"),CONCATENATE("R",'Mapa final'!$A$41),"")</f>
        <v/>
      </c>
      <c r="U24" s="275"/>
      <c r="V24" s="273" t="str">
        <f>IF(AND('Mapa final'!$J$29="Media",'Mapa final'!$N$29="Moderado"),CONCATENATE("R",'Mapa final'!$A$29),"")</f>
        <v/>
      </c>
      <c r="W24" s="274"/>
      <c r="X24" s="274" t="str">
        <f>IF(AND('Mapa final'!$J$35="Media",'Mapa final'!$N$35="Moderado"),CONCATENATE("R",'Mapa final'!$A$35),"")</f>
        <v/>
      </c>
      <c r="Y24" s="274"/>
      <c r="Z24" s="274" t="str">
        <f>IF(AND('Mapa final'!$J$41="Media",'Mapa final'!$N$41="Moderado"),CONCATENATE("R",'Mapa final'!$A$41),"")</f>
        <v/>
      </c>
      <c r="AA24" s="275"/>
      <c r="AB24" s="291" t="str">
        <f>IF(AND('Mapa final'!$J$29="Media",'Mapa final'!$N$29="Mayor"),CONCATENATE("R",'Mapa final'!$A$29),"")</f>
        <v/>
      </c>
      <c r="AC24" s="292"/>
      <c r="AD24" s="293" t="str">
        <f>IF(AND('Mapa final'!$J$35="Media",'Mapa final'!$N$35="Mayor"),CONCATENATE("R",'Mapa final'!$A$35),"")</f>
        <v/>
      </c>
      <c r="AE24" s="293"/>
      <c r="AF24" s="293" t="str">
        <f>IF(AND('Mapa final'!$J$41="Media",'Mapa final'!$N$41="Mayor"),CONCATENATE("R",'Mapa final'!$A$41),"")</f>
        <v/>
      </c>
      <c r="AG24" s="294"/>
      <c r="AH24" s="282" t="str">
        <f>IF(AND('Mapa final'!$J$29="Media",'Mapa final'!$N$29="Catastrófico"),CONCATENATE("R",'Mapa final'!$A$29),"")</f>
        <v/>
      </c>
      <c r="AI24" s="283"/>
      <c r="AJ24" s="283" t="str">
        <f>IF(AND('Mapa final'!$J$35="Media",'Mapa final'!$N$35="Catastrófico"),CONCATENATE("R",'Mapa final'!$A$35),"")</f>
        <v/>
      </c>
      <c r="AK24" s="283"/>
      <c r="AL24" s="283" t="str">
        <f>IF(AND('Mapa final'!$J$41="Media",'Mapa final'!$N$41="Catastrófico"),CONCATENATE("R",'Mapa final'!$A$41),"")</f>
        <v/>
      </c>
      <c r="AM24" s="284"/>
      <c r="AN24" s="84"/>
      <c r="AO24" s="336"/>
      <c r="AP24" s="337"/>
      <c r="AQ24" s="337"/>
      <c r="AR24" s="337"/>
      <c r="AS24" s="337"/>
      <c r="AT24" s="338"/>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313"/>
      <c r="C25" s="313"/>
      <c r="D25" s="314"/>
      <c r="E25" s="305"/>
      <c r="F25" s="306"/>
      <c r="G25" s="306"/>
      <c r="H25" s="306"/>
      <c r="I25" s="307"/>
      <c r="J25" s="273"/>
      <c r="K25" s="274"/>
      <c r="L25" s="274"/>
      <c r="M25" s="274"/>
      <c r="N25" s="274"/>
      <c r="O25" s="275"/>
      <c r="P25" s="273"/>
      <c r="Q25" s="274"/>
      <c r="R25" s="274"/>
      <c r="S25" s="274"/>
      <c r="T25" s="274"/>
      <c r="U25" s="275"/>
      <c r="V25" s="273"/>
      <c r="W25" s="274"/>
      <c r="X25" s="274"/>
      <c r="Y25" s="274"/>
      <c r="Z25" s="274"/>
      <c r="AA25" s="275"/>
      <c r="AB25" s="291"/>
      <c r="AC25" s="292"/>
      <c r="AD25" s="293"/>
      <c r="AE25" s="293"/>
      <c r="AF25" s="293"/>
      <c r="AG25" s="294"/>
      <c r="AH25" s="282"/>
      <c r="AI25" s="283"/>
      <c r="AJ25" s="283"/>
      <c r="AK25" s="283"/>
      <c r="AL25" s="283"/>
      <c r="AM25" s="284"/>
      <c r="AN25" s="84"/>
      <c r="AO25" s="336"/>
      <c r="AP25" s="337"/>
      <c r="AQ25" s="337"/>
      <c r="AR25" s="337"/>
      <c r="AS25" s="337"/>
      <c r="AT25" s="338"/>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313"/>
      <c r="C26" s="313"/>
      <c r="D26" s="314"/>
      <c r="E26" s="305"/>
      <c r="F26" s="306"/>
      <c r="G26" s="306"/>
      <c r="H26" s="306"/>
      <c r="I26" s="307"/>
      <c r="J26" s="273" t="str">
        <f>IF(AND('Mapa final'!$J$47="Media",'Mapa final'!$N$47="Leve"),CONCATENATE("R",'Mapa final'!$A$47),"")</f>
        <v/>
      </c>
      <c r="K26" s="274"/>
      <c r="L26" s="274" t="str">
        <f>IF(AND('Mapa final'!$J$53="Media",'Mapa final'!$N$53="Leve"),CONCATENATE("R",'Mapa final'!$A$53),"")</f>
        <v/>
      </c>
      <c r="M26" s="274"/>
      <c r="N26" s="274" t="str">
        <f>IF(AND('Mapa final'!$J$59="Media",'Mapa final'!$N$59="Leve"),CONCATENATE("R",'Mapa final'!$A$59),"")</f>
        <v/>
      </c>
      <c r="O26" s="275"/>
      <c r="P26" s="273" t="str">
        <f>IF(AND('Mapa final'!$J$47="Media",'Mapa final'!$N$47="Menor"),CONCATENATE("R",'Mapa final'!$A$47),"")</f>
        <v/>
      </c>
      <c r="Q26" s="274"/>
      <c r="R26" s="274" t="str">
        <f>IF(AND('Mapa final'!$J$53="Media",'Mapa final'!$N$53="Menor"),CONCATENATE("R",'Mapa final'!$A$53),"")</f>
        <v/>
      </c>
      <c r="S26" s="274"/>
      <c r="T26" s="274" t="str">
        <f>IF(AND('Mapa final'!$J$59="Media",'Mapa final'!$N$59="Menor"),CONCATENATE("R",'Mapa final'!$A$59),"")</f>
        <v/>
      </c>
      <c r="U26" s="275"/>
      <c r="V26" s="273" t="str">
        <f>IF(AND('Mapa final'!$J$47="Media",'Mapa final'!$N$47="Moderado"),CONCATENATE("R",'Mapa final'!$A$47),"")</f>
        <v/>
      </c>
      <c r="W26" s="274"/>
      <c r="X26" s="274" t="str">
        <f>IF(AND('Mapa final'!$J$53="Media",'Mapa final'!$N$53="Moderado"),CONCATENATE("R",'Mapa final'!$A$53),"")</f>
        <v/>
      </c>
      <c r="Y26" s="274"/>
      <c r="Z26" s="274" t="str">
        <f>IF(AND('Mapa final'!$J$59="Media",'Mapa final'!$N$59="Moderado"),CONCATENATE("R",'Mapa final'!$A$59),"")</f>
        <v/>
      </c>
      <c r="AA26" s="275"/>
      <c r="AB26" s="291" t="str">
        <f>IF(AND('Mapa final'!$J$47="Media",'Mapa final'!$N$47="Mayor"),CONCATENATE("R",'Mapa final'!$A$47),"")</f>
        <v/>
      </c>
      <c r="AC26" s="292"/>
      <c r="AD26" s="293" t="str">
        <f>IF(AND('Mapa final'!$J$53="Media",'Mapa final'!$N$53="Mayor"),CONCATENATE("R",'Mapa final'!$A$53),"")</f>
        <v/>
      </c>
      <c r="AE26" s="293"/>
      <c r="AF26" s="293" t="str">
        <f>IF(AND('Mapa final'!$J$59="Media",'Mapa final'!$N$59="Mayor"),CONCATENATE("R",'Mapa final'!$A$59),"")</f>
        <v/>
      </c>
      <c r="AG26" s="294"/>
      <c r="AH26" s="282" t="str">
        <f>IF(AND('Mapa final'!$J$47="Media",'Mapa final'!$N$47="Catastrófico"),CONCATENATE("R",'Mapa final'!$A$47),"")</f>
        <v/>
      </c>
      <c r="AI26" s="283"/>
      <c r="AJ26" s="283" t="str">
        <f>IF(AND('Mapa final'!$J$53="Media",'Mapa final'!$N$53="Catastrófico"),CONCATENATE("R",'Mapa final'!$A$53),"")</f>
        <v/>
      </c>
      <c r="AK26" s="283"/>
      <c r="AL26" s="283" t="str">
        <f>IF(AND('Mapa final'!$J$59="Media",'Mapa final'!$N$59="Catastrófico"),CONCATENATE("R",'Mapa final'!$A$59),"")</f>
        <v/>
      </c>
      <c r="AM26" s="284"/>
      <c r="AN26" s="84"/>
      <c r="AO26" s="336"/>
      <c r="AP26" s="337"/>
      <c r="AQ26" s="337"/>
      <c r="AR26" s="337"/>
      <c r="AS26" s="337"/>
      <c r="AT26" s="33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313"/>
      <c r="C27" s="313"/>
      <c r="D27" s="314"/>
      <c r="E27" s="305"/>
      <c r="F27" s="306"/>
      <c r="G27" s="306"/>
      <c r="H27" s="306"/>
      <c r="I27" s="307"/>
      <c r="J27" s="273"/>
      <c r="K27" s="274"/>
      <c r="L27" s="274"/>
      <c r="M27" s="274"/>
      <c r="N27" s="274"/>
      <c r="O27" s="275"/>
      <c r="P27" s="273"/>
      <c r="Q27" s="274"/>
      <c r="R27" s="274"/>
      <c r="S27" s="274"/>
      <c r="T27" s="274"/>
      <c r="U27" s="275"/>
      <c r="V27" s="273"/>
      <c r="W27" s="274"/>
      <c r="X27" s="274"/>
      <c r="Y27" s="274"/>
      <c r="Z27" s="274"/>
      <c r="AA27" s="275"/>
      <c r="AB27" s="291"/>
      <c r="AC27" s="292"/>
      <c r="AD27" s="293"/>
      <c r="AE27" s="293"/>
      <c r="AF27" s="293"/>
      <c r="AG27" s="294"/>
      <c r="AH27" s="282"/>
      <c r="AI27" s="283"/>
      <c r="AJ27" s="283"/>
      <c r="AK27" s="283"/>
      <c r="AL27" s="283"/>
      <c r="AM27" s="284"/>
      <c r="AN27" s="84"/>
      <c r="AO27" s="336"/>
      <c r="AP27" s="337"/>
      <c r="AQ27" s="337"/>
      <c r="AR27" s="337"/>
      <c r="AS27" s="337"/>
      <c r="AT27" s="338"/>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313"/>
      <c r="C28" s="313"/>
      <c r="D28" s="314"/>
      <c r="E28" s="305"/>
      <c r="F28" s="306"/>
      <c r="G28" s="306"/>
      <c r="H28" s="306"/>
      <c r="I28" s="307"/>
      <c r="J28" s="273" t="str">
        <f>IF(AND('Mapa final'!$J$65="Media",'Mapa final'!$N$65="Leve"),CONCATENATE("R",'Mapa final'!$A$65),"")</f>
        <v/>
      </c>
      <c r="K28" s="274"/>
      <c r="L28" s="274" t="str">
        <f>IF(AND('Mapa final'!$J$71="Media",'Mapa final'!$N$71="Leve"),CONCATENATE("R",'Mapa final'!$A$71),"")</f>
        <v/>
      </c>
      <c r="M28" s="274"/>
      <c r="N28" s="274" t="str">
        <f>IF(AND('Mapa final'!$J$77="Media",'Mapa final'!$N$77="Leve"),CONCATENATE("R",'Mapa final'!$A$77),"")</f>
        <v/>
      </c>
      <c r="O28" s="275"/>
      <c r="P28" s="273" t="str">
        <f>IF(AND('Mapa final'!$J$65="Media",'Mapa final'!$N$65="Menor"),CONCATENATE("R",'Mapa final'!$A$65),"")</f>
        <v/>
      </c>
      <c r="Q28" s="274"/>
      <c r="R28" s="274" t="str">
        <f>IF(AND('Mapa final'!$J$71="Media",'Mapa final'!$N$71="Menor"),CONCATENATE("R",'Mapa final'!$A$71),"")</f>
        <v/>
      </c>
      <c r="S28" s="274"/>
      <c r="T28" s="274" t="str">
        <f>IF(AND('Mapa final'!$J$77="Media",'Mapa final'!$N$77="Menor"),CONCATENATE("R",'Mapa final'!$A$77),"")</f>
        <v/>
      </c>
      <c r="U28" s="275"/>
      <c r="V28" s="273" t="str">
        <f>IF(AND('Mapa final'!$J$65="Media",'Mapa final'!$N$65="Moderado"),CONCATENATE("R",'Mapa final'!$A$65),"")</f>
        <v/>
      </c>
      <c r="W28" s="274"/>
      <c r="X28" s="274" t="str">
        <f>IF(AND('Mapa final'!$J$71="Media",'Mapa final'!$N$71="Moderado"),CONCATENATE("R",'Mapa final'!$A$71),"")</f>
        <v/>
      </c>
      <c r="Y28" s="274"/>
      <c r="Z28" s="274" t="str">
        <f>IF(AND('Mapa final'!$J$77="Media",'Mapa final'!$N$77="Moderado"),CONCATENATE("R",'Mapa final'!$A$77),"")</f>
        <v/>
      </c>
      <c r="AA28" s="275"/>
      <c r="AB28" s="291" t="str">
        <f>IF(AND('Mapa final'!$J$65="Media",'Mapa final'!$N$65="Mayor"),CONCATENATE("R",'Mapa final'!$A$65),"")</f>
        <v/>
      </c>
      <c r="AC28" s="292"/>
      <c r="AD28" s="293" t="str">
        <f>IF(AND('Mapa final'!$J$71="Media",'Mapa final'!$N$71="Mayor"),CONCATENATE("R",'Mapa final'!$A$71),"")</f>
        <v/>
      </c>
      <c r="AE28" s="293"/>
      <c r="AF28" s="293" t="str">
        <f>IF(AND('Mapa final'!$J$77="Media",'Mapa final'!$N$77="Mayor"),CONCATENATE("R",'Mapa final'!$A$77),"")</f>
        <v/>
      </c>
      <c r="AG28" s="294"/>
      <c r="AH28" s="282" t="str">
        <f>IF(AND('Mapa final'!$J$65="Media",'Mapa final'!$N$65="Catastrófico"),CONCATENATE("R",'Mapa final'!$A$65),"")</f>
        <v/>
      </c>
      <c r="AI28" s="283"/>
      <c r="AJ28" s="283" t="str">
        <f>IF(AND('Mapa final'!$J$71="Media",'Mapa final'!$N$71="Catastrófico"),CONCATENATE("R",'Mapa final'!$A$71),"")</f>
        <v/>
      </c>
      <c r="AK28" s="283"/>
      <c r="AL28" s="283" t="str">
        <f>IF(AND('Mapa final'!$J$77="Media",'Mapa final'!$N$77="Catastrófico"),CONCATENATE("R",'Mapa final'!$A$77),"")</f>
        <v/>
      </c>
      <c r="AM28" s="284"/>
      <c r="AN28" s="84"/>
      <c r="AO28" s="336"/>
      <c r="AP28" s="337"/>
      <c r="AQ28" s="337"/>
      <c r="AR28" s="337"/>
      <c r="AS28" s="337"/>
      <c r="AT28" s="338"/>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313"/>
      <c r="C29" s="313"/>
      <c r="D29" s="314"/>
      <c r="E29" s="308"/>
      <c r="F29" s="309"/>
      <c r="G29" s="309"/>
      <c r="H29" s="309"/>
      <c r="I29" s="310"/>
      <c r="J29" s="273"/>
      <c r="K29" s="274"/>
      <c r="L29" s="274"/>
      <c r="M29" s="274"/>
      <c r="N29" s="274"/>
      <c r="O29" s="275"/>
      <c r="P29" s="276"/>
      <c r="Q29" s="277"/>
      <c r="R29" s="277"/>
      <c r="S29" s="277"/>
      <c r="T29" s="277"/>
      <c r="U29" s="278"/>
      <c r="V29" s="276"/>
      <c r="W29" s="277"/>
      <c r="X29" s="277"/>
      <c r="Y29" s="277"/>
      <c r="Z29" s="277"/>
      <c r="AA29" s="278"/>
      <c r="AB29" s="295"/>
      <c r="AC29" s="296"/>
      <c r="AD29" s="296"/>
      <c r="AE29" s="296"/>
      <c r="AF29" s="296"/>
      <c r="AG29" s="297"/>
      <c r="AH29" s="285"/>
      <c r="AI29" s="286"/>
      <c r="AJ29" s="286"/>
      <c r="AK29" s="286"/>
      <c r="AL29" s="286"/>
      <c r="AM29" s="287"/>
      <c r="AN29" s="84"/>
      <c r="AO29" s="339"/>
      <c r="AP29" s="340"/>
      <c r="AQ29" s="340"/>
      <c r="AR29" s="340"/>
      <c r="AS29" s="340"/>
      <c r="AT29" s="34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313"/>
      <c r="C30" s="313"/>
      <c r="D30" s="314"/>
      <c r="E30" s="302" t="s">
        <v>106</v>
      </c>
      <c r="F30" s="303"/>
      <c r="G30" s="303"/>
      <c r="H30" s="303"/>
      <c r="I30" s="303"/>
      <c r="J30" s="270" t="str">
        <f>IF(AND('Mapa final'!$J$11="Baja",'Mapa final'!$N$11="Leve"),CONCATENATE("R",'Mapa final'!$A$11),"")</f>
        <v/>
      </c>
      <c r="K30" s="271"/>
      <c r="L30" s="271" t="str">
        <f>IF(AND('Mapa final'!$J$17="Baja",'Mapa final'!$N$17="Leve"),CONCATENATE("R",'Mapa final'!$A$17),"")</f>
        <v/>
      </c>
      <c r="M30" s="271"/>
      <c r="N30" s="271" t="str">
        <f>IF(AND('Mapa final'!$J$23="Baja",'Mapa final'!$N$23="Leve"),CONCATENATE("R",'Mapa final'!$A$23),"")</f>
        <v/>
      </c>
      <c r="O30" s="272"/>
      <c r="P30" s="280" t="str">
        <f>IF(AND('Mapa final'!$J$11="Baja",'Mapa final'!$N$11="Menor"),CONCATENATE("R",'Mapa final'!$A$11),"")</f>
        <v/>
      </c>
      <c r="Q30" s="280"/>
      <c r="R30" s="280" t="str">
        <f>IF(AND('Mapa final'!$J$17="Baja",'Mapa final'!$N$17="Menor"),CONCATENATE("R",'Mapa final'!$A$17),"")</f>
        <v/>
      </c>
      <c r="S30" s="280"/>
      <c r="T30" s="280" t="str">
        <f>IF(AND('Mapa final'!$J$23="Baja",'Mapa final'!$N$23="Menor"),CONCATENATE("R",'Mapa final'!$A$23),"")</f>
        <v/>
      </c>
      <c r="U30" s="281"/>
      <c r="V30" s="279" t="str">
        <f>IF(AND('Mapa final'!$J$11="Baja",'Mapa final'!$N$11="Moderado"),CONCATENATE("R",'Mapa final'!$A$11),"")</f>
        <v/>
      </c>
      <c r="W30" s="280"/>
      <c r="X30" s="280" t="str">
        <f>IF(AND('Mapa final'!$J$17="Baja",'Mapa final'!$N$17="Moderado"),CONCATENATE("R",'Mapa final'!$A$17),"")</f>
        <v/>
      </c>
      <c r="Y30" s="280"/>
      <c r="Z30" s="280" t="str">
        <f>IF(AND('Mapa final'!$J$23="Baja",'Mapa final'!$N$23="Moderado"),CONCATENATE("R",'Mapa final'!$A$23),"")</f>
        <v>R3</v>
      </c>
      <c r="AA30" s="281"/>
      <c r="AB30" s="298" t="str">
        <f>IF(AND('Mapa final'!$J$11="Baja",'Mapa final'!$N$11="Mayor"),CONCATENATE("R",'Mapa final'!$A$11),"")</f>
        <v/>
      </c>
      <c r="AC30" s="299"/>
      <c r="AD30" s="299" t="str">
        <f>IF(AND('Mapa final'!$J$17="Baja",'Mapa final'!$N$17="Mayor"),CONCATENATE("R",'Mapa final'!$A$17),"")</f>
        <v/>
      </c>
      <c r="AE30" s="299"/>
      <c r="AF30" s="299" t="str">
        <f>IF(AND('Mapa final'!$J$23="Baja",'Mapa final'!$N$23="Mayor"),CONCATENATE("R",'Mapa final'!$A$23),"")</f>
        <v/>
      </c>
      <c r="AG30" s="300"/>
      <c r="AH30" s="288" t="str">
        <f>IF(AND('Mapa final'!$J$11="Baja",'Mapa final'!$N$11="Catastrófico"),CONCATENATE("R",'Mapa final'!$A$11),"")</f>
        <v/>
      </c>
      <c r="AI30" s="289"/>
      <c r="AJ30" s="289" t="str">
        <f>IF(AND('Mapa final'!$J$17="Baja",'Mapa final'!$N$17="Catastrófico"),CONCATENATE("R",'Mapa final'!$A$17),"")</f>
        <v/>
      </c>
      <c r="AK30" s="289"/>
      <c r="AL30" s="289" t="str">
        <f>IF(AND('Mapa final'!$J$23="Baja",'Mapa final'!$N$23="Catastrófico"),CONCATENATE("R",'Mapa final'!$A$23),"")</f>
        <v/>
      </c>
      <c r="AM30" s="290"/>
      <c r="AN30" s="84"/>
      <c r="AO30" s="342" t="s">
        <v>79</v>
      </c>
      <c r="AP30" s="343"/>
      <c r="AQ30" s="343"/>
      <c r="AR30" s="343"/>
      <c r="AS30" s="343"/>
      <c r="AT30" s="34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313"/>
      <c r="C31" s="313"/>
      <c r="D31" s="314"/>
      <c r="E31" s="305"/>
      <c r="F31" s="306"/>
      <c r="G31" s="306"/>
      <c r="H31" s="306"/>
      <c r="I31" s="311"/>
      <c r="J31" s="264"/>
      <c r="K31" s="265"/>
      <c r="L31" s="265"/>
      <c r="M31" s="265"/>
      <c r="N31" s="265"/>
      <c r="O31" s="266"/>
      <c r="P31" s="274"/>
      <c r="Q31" s="274"/>
      <c r="R31" s="274"/>
      <c r="S31" s="274"/>
      <c r="T31" s="274"/>
      <c r="U31" s="275"/>
      <c r="V31" s="273"/>
      <c r="W31" s="274"/>
      <c r="X31" s="274"/>
      <c r="Y31" s="274"/>
      <c r="Z31" s="274"/>
      <c r="AA31" s="275"/>
      <c r="AB31" s="291"/>
      <c r="AC31" s="292"/>
      <c r="AD31" s="292"/>
      <c r="AE31" s="292"/>
      <c r="AF31" s="292"/>
      <c r="AG31" s="294"/>
      <c r="AH31" s="282"/>
      <c r="AI31" s="283"/>
      <c r="AJ31" s="283"/>
      <c r="AK31" s="283"/>
      <c r="AL31" s="283"/>
      <c r="AM31" s="284"/>
      <c r="AN31" s="84"/>
      <c r="AO31" s="345"/>
      <c r="AP31" s="346"/>
      <c r="AQ31" s="346"/>
      <c r="AR31" s="346"/>
      <c r="AS31" s="346"/>
      <c r="AT31" s="347"/>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313"/>
      <c r="C32" s="313"/>
      <c r="D32" s="314"/>
      <c r="E32" s="305"/>
      <c r="F32" s="306"/>
      <c r="G32" s="306"/>
      <c r="H32" s="306"/>
      <c r="I32" s="311"/>
      <c r="J32" s="264" t="str">
        <f>IF(AND('Mapa final'!$J$29="Baja",'Mapa final'!$N$29="Leve"),CONCATENATE("R",'Mapa final'!$A$29),"")</f>
        <v/>
      </c>
      <c r="K32" s="265"/>
      <c r="L32" s="265" t="str">
        <f>IF(AND('Mapa final'!$J$35="Baja",'Mapa final'!$N$35="Leve"),CONCATENATE("R",'Mapa final'!$A$35),"")</f>
        <v/>
      </c>
      <c r="M32" s="265"/>
      <c r="N32" s="265" t="str">
        <f>IF(AND('Mapa final'!$J$41="Baja",'Mapa final'!$N$41="Leve"),CONCATENATE("R",'Mapa final'!$A$41),"")</f>
        <v/>
      </c>
      <c r="O32" s="266"/>
      <c r="P32" s="274" t="str">
        <f>IF(AND('Mapa final'!$J$29="Baja",'Mapa final'!$N$29="Menor"),CONCATENATE("R",'Mapa final'!$A$29),"")</f>
        <v/>
      </c>
      <c r="Q32" s="274"/>
      <c r="R32" s="274" t="str">
        <f>IF(AND('Mapa final'!$J$35="Baja",'Mapa final'!$N$35="Menor"),CONCATENATE("R",'Mapa final'!$A$35),"")</f>
        <v/>
      </c>
      <c r="S32" s="274"/>
      <c r="T32" s="274" t="str">
        <f>IF(AND('Mapa final'!$J$41="Baja",'Mapa final'!$N$41="Menor"),CONCATENATE("R",'Mapa final'!$A$41),"")</f>
        <v/>
      </c>
      <c r="U32" s="275"/>
      <c r="V32" s="273" t="str">
        <f>IF(AND('Mapa final'!$J$29="Baja",'Mapa final'!$N$29="Moderado"),CONCATENATE("R",'Mapa final'!$A$29),"")</f>
        <v/>
      </c>
      <c r="W32" s="274"/>
      <c r="X32" s="274" t="str">
        <f>IF(AND('Mapa final'!$J$35="Baja",'Mapa final'!$N$35="Moderado"),CONCATENATE("R",'Mapa final'!$A$35),"")</f>
        <v/>
      </c>
      <c r="Y32" s="274"/>
      <c r="Z32" s="274" t="str">
        <f>IF(AND('Mapa final'!$J$41="Baja",'Mapa final'!$N$41="Moderado"),CONCATENATE("R",'Mapa final'!$A$41),"")</f>
        <v/>
      </c>
      <c r="AA32" s="275"/>
      <c r="AB32" s="291" t="str">
        <f>IF(AND('Mapa final'!$J$29="Baja",'Mapa final'!$N$29="Mayor"),CONCATENATE("R",'Mapa final'!$A$29),"")</f>
        <v/>
      </c>
      <c r="AC32" s="292"/>
      <c r="AD32" s="293" t="str">
        <f>IF(AND('Mapa final'!$J$35="Baja",'Mapa final'!$N$35="Mayor"),CONCATENATE("R",'Mapa final'!$A$35),"")</f>
        <v/>
      </c>
      <c r="AE32" s="293"/>
      <c r="AF32" s="293" t="str">
        <f>IF(AND('Mapa final'!$J$41="Baja",'Mapa final'!$N$41="Mayor"),CONCATENATE("R",'Mapa final'!$A$41),"")</f>
        <v/>
      </c>
      <c r="AG32" s="294"/>
      <c r="AH32" s="282" t="str">
        <f>IF(AND('Mapa final'!$J$29="Baja",'Mapa final'!$N$29="Catastrófico"),CONCATENATE("R",'Mapa final'!$A$29),"")</f>
        <v/>
      </c>
      <c r="AI32" s="283"/>
      <c r="AJ32" s="283" t="str">
        <f>IF(AND('Mapa final'!$J$35="Baja",'Mapa final'!$N$35="Catastrófico"),CONCATENATE("R",'Mapa final'!$A$35),"")</f>
        <v/>
      </c>
      <c r="AK32" s="283"/>
      <c r="AL32" s="283" t="str">
        <f>IF(AND('Mapa final'!$J$41="Baja",'Mapa final'!$N$41="Catastrófico"),CONCATENATE("R",'Mapa final'!$A$41),"")</f>
        <v/>
      </c>
      <c r="AM32" s="284"/>
      <c r="AN32" s="84"/>
      <c r="AO32" s="345"/>
      <c r="AP32" s="346"/>
      <c r="AQ32" s="346"/>
      <c r="AR32" s="346"/>
      <c r="AS32" s="346"/>
      <c r="AT32" s="347"/>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313"/>
      <c r="C33" s="313"/>
      <c r="D33" s="314"/>
      <c r="E33" s="305"/>
      <c r="F33" s="306"/>
      <c r="G33" s="306"/>
      <c r="H33" s="306"/>
      <c r="I33" s="311"/>
      <c r="J33" s="264"/>
      <c r="K33" s="265"/>
      <c r="L33" s="265"/>
      <c r="M33" s="265"/>
      <c r="N33" s="265"/>
      <c r="O33" s="266"/>
      <c r="P33" s="274"/>
      <c r="Q33" s="274"/>
      <c r="R33" s="274"/>
      <c r="S33" s="274"/>
      <c r="T33" s="274"/>
      <c r="U33" s="275"/>
      <c r="V33" s="273"/>
      <c r="W33" s="274"/>
      <c r="X33" s="274"/>
      <c r="Y33" s="274"/>
      <c r="Z33" s="274"/>
      <c r="AA33" s="275"/>
      <c r="AB33" s="291"/>
      <c r="AC33" s="292"/>
      <c r="AD33" s="293"/>
      <c r="AE33" s="293"/>
      <c r="AF33" s="293"/>
      <c r="AG33" s="294"/>
      <c r="AH33" s="282"/>
      <c r="AI33" s="283"/>
      <c r="AJ33" s="283"/>
      <c r="AK33" s="283"/>
      <c r="AL33" s="283"/>
      <c r="AM33" s="284"/>
      <c r="AN33" s="84"/>
      <c r="AO33" s="345"/>
      <c r="AP33" s="346"/>
      <c r="AQ33" s="346"/>
      <c r="AR33" s="346"/>
      <c r="AS33" s="346"/>
      <c r="AT33" s="347"/>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313"/>
      <c r="C34" s="313"/>
      <c r="D34" s="314"/>
      <c r="E34" s="305"/>
      <c r="F34" s="306"/>
      <c r="G34" s="306"/>
      <c r="H34" s="306"/>
      <c r="I34" s="311"/>
      <c r="J34" s="264" t="str">
        <f>IF(AND('Mapa final'!$J$47="Baja",'Mapa final'!$N$47="Leve"),CONCATENATE("R",'Mapa final'!$A$47),"")</f>
        <v/>
      </c>
      <c r="K34" s="265"/>
      <c r="L34" s="265" t="str">
        <f>IF(AND('Mapa final'!$J$53="Baja",'Mapa final'!$N$53="Leve"),CONCATENATE("R",'Mapa final'!$A$53),"")</f>
        <v/>
      </c>
      <c r="M34" s="265"/>
      <c r="N34" s="265" t="str">
        <f>IF(AND('Mapa final'!$J$59="Baja",'Mapa final'!$N$59="Leve"),CONCATENATE("R",'Mapa final'!$A$59),"")</f>
        <v/>
      </c>
      <c r="O34" s="266"/>
      <c r="P34" s="274" t="str">
        <f>IF(AND('Mapa final'!$J$47="Baja",'Mapa final'!$N$47="Menor"),CONCATENATE("R",'Mapa final'!$A$47),"")</f>
        <v/>
      </c>
      <c r="Q34" s="274"/>
      <c r="R34" s="274" t="str">
        <f>IF(AND('Mapa final'!$J$53="Baja",'Mapa final'!$N$53="Menor"),CONCATENATE("R",'Mapa final'!$A$53),"")</f>
        <v/>
      </c>
      <c r="S34" s="274"/>
      <c r="T34" s="274" t="str">
        <f>IF(AND('Mapa final'!$J$59="Baja",'Mapa final'!$N$59="Menor"),CONCATENATE("R",'Mapa final'!$A$59),"")</f>
        <v/>
      </c>
      <c r="U34" s="275"/>
      <c r="V34" s="273" t="str">
        <f>IF(AND('Mapa final'!$J$47="Baja",'Mapa final'!$N$47="Moderado"),CONCATENATE("R",'Mapa final'!$A$47),"")</f>
        <v/>
      </c>
      <c r="W34" s="274"/>
      <c r="X34" s="274" t="str">
        <f>IF(AND('Mapa final'!$J$53="Baja",'Mapa final'!$N$53="Moderado"),CONCATENATE("R",'Mapa final'!$A$53),"")</f>
        <v/>
      </c>
      <c r="Y34" s="274"/>
      <c r="Z34" s="274" t="str">
        <f>IF(AND('Mapa final'!$J$59="Baja",'Mapa final'!$N$59="Moderado"),CONCATENATE("R",'Mapa final'!$A$59),"")</f>
        <v/>
      </c>
      <c r="AA34" s="275"/>
      <c r="AB34" s="291" t="str">
        <f>IF(AND('Mapa final'!$J$47="Baja",'Mapa final'!$N$47="Mayor"),CONCATENATE("R",'Mapa final'!$A$47),"")</f>
        <v/>
      </c>
      <c r="AC34" s="292"/>
      <c r="AD34" s="293" t="str">
        <f>IF(AND('Mapa final'!$J$53="Baja",'Mapa final'!$N$53="Mayor"),CONCATENATE("R",'Mapa final'!$A$53),"")</f>
        <v/>
      </c>
      <c r="AE34" s="293"/>
      <c r="AF34" s="293" t="str">
        <f>IF(AND('Mapa final'!$J$59="Baja",'Mapa final'!$N$59="Mayor"),CONCATENATE("R",'Mapa final'!$A$59),"")</f>
        <v/>
      </c>
      <c r="AG34" s="294"/>
      <c r="AH34" s="282" t="str">
        <f>IF(AND('Mapa final'!$J$47="Baja",'Mapa final'!$N$47="Catastrófico"),CONCATENATE("R",'Mapa final'!$A$47),"")</f>
        <v/>
      </c>
      <c r="AI34" s="283"/>
      <c r="AJ34" s="283" t="str">
        <f>IF(AND('Mapa final'!$J$53="Baja",'Mapa final'!$N$53="Catastrófico"),CONCATENATE("R",'Mapa final'!$A$53),"")</f>
        <v/>
      </c>
      <c r="AK34" s="283"/>
      <c r="AL34" s="283" t="str">
        <f>IF(AND('Mapa final'!$J$59="Baja",'Mapa final'!$N$59="Catastrófico"),CONCATENATE("R",'Mapa final'!$A$59),"")</f>
        <v/>
      </c>
      <c r="AM34" s="284"/>
      <c r="AN34" s="84"/>
      <c r="AO34" s="345"/>
      <c r="AP34" s="346"/>
      <c r="AQ34" s="346"/>
      <c r="AR34" s="346"/>
      <c r="AS34" s="346"/>
      <c r="AT34" s="347"/>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313"/>
      <c r="C35" s="313"/>
      <c r="D35" s="314"/>
      <c r="E35" s="305"/>
      <c r="F35" s="306"/>
      <c r="G35" s="306"/>
      <c r="H35" s="306"/>
      <c r="I35" s="311"/>
      <c r="J35" s="264"/>
      <c r="K35" s="265"/>
      <c r="L35" s="265"/>
      <c r="M35" s="265"/>
      <c r="N35" s="265"/>
      <c r="O35" s="266"/>
      <c r="P35" s="274"/>
      <c r="Q35" s="274"/>
      <c r="R35" s="274"/>
      <c r="S35" s="274"/>
      <c r="T35" s="274"/>
      <c r="U35" s="275"/>
      <c r="V35" s="273"/>
      <c r="W35" s="274"/>
      <c r="X35" s="274"/>
      <c r="Y35" s="274"/>
      <c r="Z35" s="274"/>
      <c r="AA35" s="275"/>
      <c r="AB35" s="291"/>
      <c r="AC35" s="292"/>
      <c r="AD35" s="293"/>
      <c r="AE35" s="293"/>
      <c r="AF35" s="293"/>
      <c r="AG35" s="294"/>
      <c r="AH35" s="282"/>
      <c r="AI35" s="283"/>
      <c r="AJ35" s="283"/>
      <c r="AK35" s="283"/>
      <c r="AL35" s="283"/>
      <c r="AM35" s="284"/>
      <c r="AN35" s="84"/>
      <c r="AO35" s="345"/>
      <c r="AP35" s="346"/>
      <c r="AQ35" s="346"/>
      <c r="AR35" s="346"/>
      <c r="AS35" s="346"/>
      <c r="AT35" s="347"/>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313"/>
      <c r="C36" s="313"/>
      <c r="D36" s="314"/>
      <c r="E36" s="305"/>
      <c r="F36" s="306"/>
      <c r="G36" s="306"/>
      <c r="H36" s="306"/>
      <c r="I36" s="311"/>
      <c r="J36" s="264" t="str">
        <f>IF(AND('Mapa final'!$J$65="Baja",'Mapa final'!$N$65="Leve"),CONCATENATE("R",'Mapa final'!$A$65),"")</f>
        <v/>
      </c>
      <c r="K36" s="265"/>
      <c r="L36" s="265" t="str">
        <f>IF(AND('Mapa final'!$J$71="Baja",'Mapa final'!$N$71="Leve"),CONCATENATE("R",'Mapa final'!$A$71),"")</f>
        <v/>
      </c>
      <c r="M36" s="265"/>
      <c r="N36" s="265" t="str">
        <f>IF(AND('Mapa final'!$J$77="Baja",'Mapa final'!$N$77="Leve"),CONCATENATE("R",'Mapa final'!$A$77),"")</f>
        <v/>
      </c>
      <c r="O36" s="266"/>
      <c r="P36" s="274" t="str">
        <f>IF(AND('Mapa final'!$J$65="Baja",'Mapa final'!$N$65="Menor"),CONCATENATE("R",'Mapa final'!$A$65),"")</f>
        <v/>
      </c>
      <c r="Q36" s="274"/>
      <c r="R36" s="274" t="str">
        <f>IF(AND('Mapa final'!$J$71="Baja",'Mapa final'!$N$71="Menor"),CONCATENATE("R",'Mapa final'!$A$71),"")</f>
        <v/>
      </c>
      <c r="S36" s="274"/>
      <c r="T36" s="274" t="str">
        <f>IF(AND('Mapa final'!$J$77="Baja",'Mapa final'!$N$77="Menor"),CONCATENATE("R",'Mapa final'!$A$77),"")</f>
        <v/>
      </c>
      <c r="U36" s="275"/>
      <c r="V36" s="273" t="str">
        <f>IF(AND('Mapa final'!$J$65="Baja",'Mapa final'!$N$65="Moderado"),CONCATENATE("R",'Mapa final'!$A$65),"")</f>
        <v/>
      </c>
      <c r="W36" s="274"/>
      <c r="X36" s="274" t="str">
        <f>IF(AND('Mapa final'!$J$71="Baja",'Mapa final'!$N$71="Moderado"),CONCATENATE("R",'Mapa final'!$A$71),"")</f>
        <v/>
      </c>
      <c r="Y36" s="274"/>
      <c r="Z36" s="274" t="str">
        <f>IF(AND('Mapa final'!$J$77="Baja",'Mapa final'!$N$77="Moderado"),CONCATENATE("R",'Mapa final'!$A$77),"")</f>
        <v/>
      </c>
      <c r="AA36" s="275"/>
      <c r="AB36" s="291" t="str">
        <f>IF(AND('Mapa final'!$J$65="Baja",'Mapa final'!$N$65="Mayor"),CONCATENATE("R",'Mapa final'!$A$65),"")</f>
        <v/>
      </c>
      <c r="AC36" s="292"/>
      <c r="AD36" s="293" t="str">
        <f>IF(AND('Mapa final'!$J$71="Baja",'Mapa final'!$N$71="Mayor"),CONCATENATE("R",'Mapa final'!$A$71),"")</f>
        <v/>
      </c>
      <c r="AE36" s="293"/>
      <c r="AF36" s="293" t="str">
        <f>IF(AND('Mapa final'!$J$77="Baja",'Mapa final'!$N$77="Mayor"),CONCATENATE("R",'Mapa final'!$A$77),"")</f>
        <v/>
      </c>
      <c r="AG36" s="294"/>
      <c r="AH36" s="282" t="str">
        <f>IF(AND('Mapa final'!$J$65="Baja",'Mapa final'!$N$65="Catastrófico"),CONCATENATE("R",'Mapa final'!$A$65),"")</f>
        <v/>
      </c>
      <c r="AI36" s="283"/>
      <c r="AJ36" s="283" t="str">
        <f>IF(AND('Mapa final'!$J$71="Baja",'Mapa final'!$N$71="Catastrófico"),CONCATENATE("R",'Mapa final'!$A$71),"")</f>
        <v/>
      </c>
      <c r="AK36" s="283"/>
      <c r="AL36" s="283" t="str">
        <f>IF(AND('Mapa final'!$J$77="Baja",'Mapa final'!$N$77="Catastrófico"),CONCATENATE("R",'Mapa final'!$A$77),"")</f>
        <v/>
      </c>
      <c r="AM36" s="284"/>
      <c r="AN36" s="84"/>
      <c r="AO36" s="345"/>
      <c r="AP36" s="346"/>
      <c r="AQ36" s="346"/>
      <c r="AR36" s="346"/>
      <c r="AS36" s="346"/>
      <c r="AT36" s="347"/>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313"/>
      <c r="C37" s="313"/>
      <c r="D37" s="314"/>
      <c r="E37" s="308"/>
      <c r="F37" s="309"/>
      <c r="G37" s="309"/>
      <c r="H37" s="309"/>
      <c r="I37" s="309"/>
      <c r="J37" s="267"/>
      <c r="K37" s="268"/>
      <c r="L37" s="268"/>
      <c r="M37" s="268"/>
      <c r="N37" s="268"/>
      <c r="O37" s="269"/>
      <c r="P37" s="277"/>
      <c r="Q37" s="277"/>
      <c r="R37" s="277"/>
      <c r="S37" s="277"/>
      <c r="T37" s="277"/>
      <c r="U37" s="278"/>
      <c r="V37" s="276"/>
      <c r="W37" s="277"/>
      <c r="X37" s="277"/>
      <c r="Y37" s="277"/>
      <c r="Z37" s="277"/>
      <c r="AA37" s="278"/>
      <c r="AB37" s="295"/>
      <c r="AC37" s="296"/>
      <c r="AD37" s="296"/>
      <c r="AE37" s="296"/>
      <c r="AF37" s="296"/>
      <c r="AG37" s="297"/>
      <c r="AH37" s="285"/>
      <c r="AI37" s="286"/>
      <c r="AJ37" s="286"/>
      <c r="AK37" s="286"/>
      <c r="AL37" s="286"/>
      <c r="AM37" s="287"/>
      <c r="AN37" s="84"/>
      <c r="AO37" s="348"/>
      <c r="AP37" s="349"/>
      <c r="AQ37" s="349"/>
      <c r="AR37" s="349"/>
      <c r="AS37" s="349"/>
      <c r="AT37" s="350"/>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313"/>
      <c r="C38" s="313"/>
      <c r="D38" s="314"/>
      <c r="E38" s="302" t="s">
        <v>105</v>
      </c>
      <c r="F38" s="303"/>
      <c r="G38" s="303"/>
      <c r="H38" s="303"/>
      <c r="I38" s="304"/>
      <c r="J38" s="270" t="str">
        <f>IF(AND('Mapa final'!$J$11="Muy Baja",'Mapa final'!$N$11="Leve"),CONCATENATE("R",'Mapa final'!$A$11),"")</f>
        <v/>
      </c>
      <c r="K38" s="271"/>
      <c r="L38" s="271" t="str">
        <f>IF(AND('Mapa final'!$J$17="Muy Baja",'Mapa final'!$N$17="Leve"),CONCATENATE("R",'Mapa final'!$A$17),"")</f>
        <v/>
      </c>
      <c r="M38" s="271"/>
      <c r="N38" s="271" t="str">
        <f>IF(AND('Mapa final'!$J$23="Muy Baja",'Mapa final'!$N$23="Leve"),CONCATENATE("R",'Mapa final'!$A$23),"")</f>
        <v/>
      </c>
      <c r="O38" s="272"/>
      <c r="P38" s="270" t="str">
        <f>IF(AND('Mapa final'!$J$11="Muy Baja",'Mapa final'!$N$11="Menor"),CONCATENATE("R",'Mapa final'!$A$11),"")</f>
        <v/>
      </c>
      <c r="Q38" s="271"/>
      <c r="R38" s="271" t="str">
        <f>IF(AND('Mapa final'!$J$17="Muy Baja",'Mapa final'!$N$17="Menor"),CONCATENATE("R",'Mapa final'!$A$17),"")</f>
        <v/>
      </c>
      <c r="S38" s="271"/>
      <c r="T38" s="271" t="str">
        <f>IF(AND('Mapa final'!$J$23="Muy Baja",'Mapa final'!$N$23="Menor"),CONCATENATE("R",'Mapa final'!$A$23),"")</f>
        <v/>
      </c>
      <c r="U38" s="272"/>
      <c r="V38" s="279" t="str">
        <f>IF(AND('Mapa final'!$J$11="Muy Baja",'Mapa final'!$N$11="Moderado"),CONCATENATE("R",'Mapa final'!$A$11),"")</f>
        <v>R1</v>
      </c>
      <c r="W38" s="280"/>
      <c r="X38" s="280" t="str">
        <f>IF(AND('Mapa final'!$J$17="Muy Baja",'Mapa final'!$N$17="Moderado"),CONCATENATE("R",'Mapa final'!$A$17),"")</f>
        <v>R2</v>
      </c>
      <c r="Y38" s="280"/>
      <c r="Z38" s="280" t="str">
        <f>IF(AND('Mapa final'!$J$23="Muy Baja",'Mapa final'!$N$23="Moderado"),CONCATENATE("R",'Mapa final'!$A$23),"")</f>
        <v/>
      </c>
      <c r="AA38" s="281"/>
      <c r="AB38" s="298" t="str">
        <f>IF(AND('Mapa final'!$J$11="Muy Baja",'Mapa final'!$N$11="Mayor"),CONCATENATE("R",'Mapa final'!$A$11),"")</f>
        <v/>
      </c>
      <c r="AC38" s="299"/>
      <c r="AD38" s="299" t="str">
        <f>IF(AND('Mapa final'!$J$17="Muy Baja",'Mapa final'!$N$17="Mayor"),CONCATENATE("R",'Mapa final'!$A$17),"")</f>
        <v/>
      </c>
      <c r="AE38" s="299"/>
      <c r="AF38" s="299" t="str">
        <f>IF(AND('Mapa final'!$J$23="Muy Baja",'Mapa final'!$N$23="Mayor"),CONCATENATE("R",'Mapa final'!$A$23),"")</f>
        <v/>
      </c>
      <c r="AG38" s="300"/>
      <c r="AH38" s="288" t="str">
        <f>IF(AND('Mapa final'!$J$11="Muy Baja",'Mapa final'!$N$11="Catastrófico"),CONCATENATE("R",'Mapa final'!$A$11),"")</f>
        <v/>
      </c>
      <c r="AI38" s="289"/>
      <c r="AJ38" s="289" t="str">
        <f>IF(AND('Mapa final'!$J$17="Muy Baja",'Mapa final'!$N$17="Catastrófico"),CONCATENATE("R",'Mapa final'!$A$17),"")</f>
        <v/>
      </c>
      <c r="AK38" s="289"/>
      <c r="AL38" s="289" t="str">
        <f>IF(AND('Mapa final'!$J$23="Muy Baja",'Mapa final'!$N$23="Catastrófico"),CONCATENATE("R",'Mapa final'!$A$23),"")</f>
        <v/>
      </c>
      <c r="AM38" s="290"/>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313"/>
      <c r="C39" s="313"/>
      <c r="D39" s="314"/>
      <c r="E39" s="305"/>
      <c r="F39" s="306"/>
      <c r="G39" s="306"/>
      <c r="H39" s="306"/>
      <c r="I39" s="307"/>
      <c r="J39" s="264"/>
      <c r="K39" s="265"/>
      <c r="L39" s="265"/>
      <c r="M39" s="265"/>
      <c r="N39" s="265"/>
      <c r="O39" s="266"/>
      <c r="P39" s="264"/>
      <c r="Q39" s="265"/>
      <c r="R39" s="265"/>
      <c r="S39" s="265"/>
      <c r="T39" s="265"/>
      <c r="U39" s="266"/>
      <c r="V39" s="273"/>
      <c r="W39" s="274"/>
      <c r="X39" s="274"/>
      <c r="Y39" s="274"/>
      <c r="Z39" s="274"/>
      <c r="AA39" s="275"/>
      <c r="AB39" s="291"/>
      <c r="AC39" s="292"/>
      <c r="AD39" s="292"/>
      <c r="AE39" s="292"/>
      <c r="AF39" s="292"/>
      <c r="AG39" s="294"/>
      <c r="AH39" s="282"/>
      <c r="AI39" s="283"/>
      <c r="AJ39" s="283"/>
      <c r="AK39" s="283"/>
      <c r="AL39" s="283"/>
      <c r="AM39" s="2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313"/>
      <c r="C40" s="313"/>
      <c r="D40" s="314"/>
      <c r="E40" s="305"/>
      <c r="F40" s="306"/>
      <c r="G40" s="306"/>
      <c r="H40" s="306"/>
      <c r="I40" s="307"/>
      <c r="J40" s="264" t="str">
        <f>IF(AND('Mapa final'!$J$29="Muy Baja",'Mapa final'!$N$29="Leve"),CONCATENATE("R",'Mapa final'!$A$29),"")</f>
        <v/>
      </c>
      <c r="K40" s="265"/>
      <c r="L40" s="265" t="str">
        <f>IF(AND('Mapa final'!$J$35="Muy Baja",'Mapa final'!$N$35="Leve"),CONCATENATE("R",'Mapa final'!$A$35),"")</f>
        <v/>
      </c>
      <c r="M40" s="265"/>
      <c r="N40" s="265" t="str">
        <f>IF(AND('Mapa final'!$J$41="Muy Baja",'Mapa final'!$N$41="Leve"),CONCATENATE("R",'Mapa final'!$A$41),"")</f>
        <v/>
      </c>
      <c r="O40" s="266"/>
      <c r="P40" s="264" t="str">
        <f>IF(AND('Mapa final'!$J$29="Muy Baja",'Mapa final'!$N$29="Menor"),CONCATENATE("R",'Mapa final'!$A$29),"")</f>
        <v/>
      </c>
      <c r="Q40" s="265"/>
      <c r="R40" s="265" t="str">
        <f>IF(AND('Mapa final'!$J$35="Muy Baja",'Mapa final'!$N$35="Menor"),CONCATENATE("R",'Mapa final'!$A$35),"")</f>
        <v/>
      </c>
      <c r="S40" s="265"/>
      <c r="T40" s="265" t="str">
        <f>IF(AND('Mapa final'!$J$41="Muy Baja",'Mapa final'!$N$41="Menor"),CONCATENATE("R",'Mapa final'!$A$41),"")</f>
        <v/>
      </c>
      <c r="U40" s="266"/>
      <c r="V40" s="273" t="str">
        <f>IF(AND('Mapa final'!$J$29="Muy Baja",'Mapa final'!$N$29="Moderado"),CONCATENATE("R",'Mapa final'!$A$29),"")</f>
        <v/>
      </c>
      <c r="W40" s="274"/>
      <c r="X40" s="274" t="str">
        <f>IF(AND('Mapa final'!$J$35="Muy Baja",'Mapa final'!$N$35="Moderado"),CONCATENATE("R",'Mapa final'!$A$35),"")</f>
        <v/>
      </c>
      <c r="Y40" s="274"/>
      <c r="Z40" s="274" t="str">
        <f>IF(AND('Mapa final'!$J$41="Muy Baja",'Mapa final'!$N$41="Moderado"),CONCATENATE("R",'Mapa final'!$A$41),"")</f>
        <v/>
      </c>
      <c r="AA40" s="275"/>
      <c r="AB40" s="291" t="str">
        <f>IF(AND('Mapa final'!$J$29="Muy Baja",'Mapa final'!$N$29="Mayor"),CONCATENATE("R",'Mapa final'!$A$29),"")</f>
        <v/>
      </c>
      <c r="AC40" s="292"/>
      <c r="AD40" s="293" t="str">
        <f>IF(AND('Mapa final'!$J$35="Muy Baja",'Mapa final'!$N$35="Mayor"),CONCATENATE("R",'Mapa final'!$A$35),"")</f>
        <v/>
      </c>
      <c r="AE40" s="293"/>
      <c r="AF40" s="293" t="str">
        <f>IF(AND('Mapa final'!$J$41="Muy Baja",'Mapa final'!$N$41="Mayor"),CONCATENATE("R",'Mapa final'!$A$41),"")</f>
        <v/>
      </c>
      <c r="AG40" s="294"/>
      <c r="AH40" s="282" t="str">
        <f>IF(AND('Mapa final'!$J$29="Muy Baja",'Mapa final'!$N$29="Catastrófico"),CONCATENATE("R",'Mapa final'!$A$29),"")</f>
        <v/>
      </c>
      <c r="AI40" s="283"/>
      <c r="AJ40" s="283" t="str">
        <f>IF(AND('Mapa final'!$J$35="Muy Baja",'Mapa final'!$N$35="Catastrófico"),CONCATENATE("R",'Mapa final'!$A$35),"")</f>
        <v/>
      </c>
      <c r="AK40" s="283"/>
      <c r="AL40" s="283" t="str">
        <f>IF(AND('Mapa final'!$J$41="Muy Baja",'Mapa final'!$N$41="Catastrófico"),CONCATENATE("R",'Mapa final'!$A$41),"")</f>
        <v/>
      </c>
      <c r="AM40" s="2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313"/>
      <c r="C41" s="313"/>
      <c r="D41" s="314"/>
      <c r="E41" s="305"/>
      <c r="F41" s="306"/>
      <c r="G41" s="306"/>
      <c r="H41" s="306"/>
      <c r="I41" s="307"/>
      <c r="J41" s="264"/>
      <c r="K41" s="265"/>
      <c r="L41" s="265"/>
      <c r="M41" s="265"/>
      <c r="N41" s="265"/>
      <c r="O41" s="266"/>
      <c r="P41" s="264"/>
      <c r="Q41" s="265"/>
      <c r="R41" s="265"/>
      <c r="S41" s="265"/>
      <c r="T41" s="265"/>
      <c r="U41" s="266"/>
      <c r="V41" s="273"/>
      <c r="W41" s="274"/>
      <c r="X41" s="274"/>
      <c r="Y41" s="274"/>
      <c r="Z41" s="274"/>
      <c r="AA41" s="275"/>
      <c r="AB41" s="291"/>
      <c r="AC41" s="292"/>
      <c r="AD41" s="293"/>
      <c r="AE41" s="293"/>
      <c r="AF41" s="293"/>
      <c r="AG41" s="294"/>
      <c r="AH41" s="282"/>
      <c r="AI41" s="283"/>
      <c r="AJ41" s="283"/>
      <c r="AK41" s="283"/>
      <c r="AL41" s="283"/>
      <c r="AM41" s="2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313"/>
      <c r="C42" s="313"/>
      <c r="D42" s="314"/>
      <c r="E42" s="305"/>
      <c r="F42" s="306"/>
      <c r="G42" s="306"/>
      <c r="H42" s="306"/>
      <c r="I42" s="307"/>
      <c r="J42" s="264" t="str">
        <f>IF(AND('Mapa final'!$J$47="Muy Baja",'Mapa final'!$N$47="Leve"),CONCATENATE("R",'Mapa final'!$A$47),"")</f>
        <v/>
      </c>
      <c r="K42" s="265"/>
      <c r="L42" s="265" t="str">
        <f>IF(AND('Mapa final'!$J$53="Muy Baja",'Mapa final'!$N$53="Leve"),CONCATENATE("R",'Mapa final'!$A$53),"")</f>
        <v/>
      </c>
      <c r="M42" s="265"/>
      <c r="N42" s="265" t="str">
        <f>IF(AND('Mapa final'!$J$59="Muy Baja",'Mapa final'!$N$59="Leve"),CONCATENATE("R",'Mapa final'!$A$59),"")</f>
        <v/>
      </c>
      <c r="O42" s="266"/>
      <c r="P42" s="264" t="str">
        <f>IF(AND('Mapa final'!$J$47="Muy Baja",'Mapa final'!$N$47="Menor"),CONCATENATE("R",'Mapa final'!$A$47),"")</f>
        <v/>
      </c>
      <c r="Q42" s="265"/>
      <c r="R42" s="265" t="str">
        <f>IF(AND('Mapa final'!$J$53="Muy Baja",'Mapa final'!$N$53="Menor"),CONCATENATE("R",'Mapa final'!$A$53),"")</f>
        <v/>
      </c>
      <c r="S42" s="265"/>
      <c r="T42" s="265" t="str">
        <f>IF(AND('Mapa final'!$J$59="Muy Baja",'Mapa final'!$N$59="Menor"),CONCATENATE("R",'Mapa final'!$A$59),"")</f>
        <v/>
      </c>
      <c r="U42" s="266"/>
      <c r="V42" s="273" t="str">
        <f>IF(AND('Mapa final'!$J$47="Muy Baja",'Mapa final'!$N$47="Moderado"),CONCATENATE("R",'Mapa final'!$A$47),"")</f>
        <v/>
      </c>
      <c r="W42" s="274"/>
      <c r="X42" s="274" t="str">
        <f>IF(AND('Mapa final'!$J$53="Muy Baja",'Mapa final'!$N$53="Moderado"),CONCATENATE("R",'Mapa final'!$A$53),"")</f>
        <v/>
      </c>
      <c r="Y42" s="274"/>
      <c r="Z42" s="274" t="str">
        <f>IF(AND('Mapa final'!$J$59="Muy Baja",'Mapa final'!$N$59="Moderado"),CONCATENATE("R",'Mapa final'!$A$59),"")</f>
        <v/>
      </c>
      <c r="AA42" s="275"/>
      <c r="AB42" s="291" t="str">
        <f>IF(AND('Mapa final'!$J$47="Muy Baja",'Mapa final'!$N$47="Mayor"),CONCATENATE("R",'Mapa final'!$A$47),"")</f>
        <v/>
      </c>
      <c r="AC42" s="292"/>
      <c r="AD42" s="293" t="str">
        <f>IF(AND('Mapa final'!$J$53="Muy Baja",'Mapa final'!$N$53="Mayor"),CONCATENATE("R",'Mapa final'!$A$53),"")</f>
        <v/>
      </c>
      <c r="AE42" s="293"/>
      <c r="AF42" s="293" t="str">
        <f>IF(AND('Mapa final'!$J$59="Muy Baja",'Mapa final'!$N$59="Mayor"),CONCATENATE("R",'Mapa final'!$A$59),"")</f>
        <v/>
      </c>
      <c r="AG42" s="294"/>
      <c r="AH42" s="282" t="str">
        <f>IF(AND('Mapa final'!$J$47="Muy Baja",'Mapa final'!$N$47="Catastrófico"),CONCATENATE("R",'Mapa final'!$A$47),"")</f>
        <v/>
      </c>
      <c r="AI42" s="283"/>
      <c r="AJ42" s="283" t="str">
        <f>IF(AND('Mapa final'!$J$53="Muy Baja",'Mapa final'!$N$53="Catastrófico"),CONCATENATE("R",'Mapa final'!$A$53),"")</f>
        <v/>
      </c>
      <c r="AK42" s="283"/>
      <c r="AL42" s="283" t="str">
        <f>IF(AND('Mapa final'!$J$59="Muy Baja",'Mapa final'!$N$59="Catastrófico"),CONCATENATE("R",'Mapa final'!$A$59),"")</f>
        <v/>
      </c>
      <c r="AM42" s="2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313"/>
      <c r="C43" s="313"/>
      <c r="D43" s="314"/>
      <c r="E43" s="305"/>
      <c r="F43" s="306"/>
      <c r="G43" s="306"/>
      <c r="H43" s="306"/>
      <c r="I43" s="307"/>
      <c r="J43" s="264"/>
      <c r="K43" s="265"/>
      <c r="L43" s="265"/>
      <c r="M43" s="265"/>
      <c r="N43" s="265"/>
      <c r="O43" s="266"/>
      <c r="P43" s="264"/>
      <c r="Q43" s="265"/>
      <c r="R43" s="265"/>
      <c r="S43" s="265"/>
      <c r="T43" s="265"/>
      <c r="U43" s="266"/>
      <c r="V43" s="273"/>
      <c r="W43" s="274"/>
      <c r="X43" s="274"/>
      <c r="Y43" s="274"/>
      <c r="Z43" s="274"/>
      <c r="AA43" s="275"/>
      <c r="AB43" s="291"/>
      <c r="AC43" s="292"/>
      <c r="AD43" s="293"/>
      <c r="AE43" s="293"/>
      <c r="AF43" s="293"/>
      <c r="AG43" s="294"/>
      <c r="AH43" s="282"/>
      <c r="AI43" s="283"/>
      <c r="AJ43" s="283"/>
      <c r="AK43" s="283"/>
      <c r="AL43" s="283"/>
      <c r="AM43" s="2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313"/>
      <c r="C44" s="313"/>
      <c r="D44" s="314"/>
      <c r="E44" s="305"/>
      <c r="F44" s="306"/>
      <c r="G44" s="306"/>
      <c r="H44" s="306"/>
      <c r="I44" s="307"/>
      <c r="J44" s="264" t="str">
        <f>IF(AND('Mapa final'!$J$65="Muy Baja",'Mapa final'!$N$65="Leve"),CONCATENATE("R",'Mapa final'!$A$65),"")</f>
        <v/>
      </c>
      <c r="K44" s="265"/>
      <c r="L44" s="265" t="str">
        <f>IF(AND('Mapa final'!$J$71="Muy Baja",'Mapa final'!$N$71="Leve"),CONCATENATE("R",'Mapa final'!$A$71),"")</f>
        <v/>
      </c>
      <c r="M44" s="265"/>
      <c r="N44" s="265" t="str">
        <f>IF(AND('Mapa final'!$J$77="Muy Baja",'Mapa final'!$N$77="Leve"),CONCATENATE("R",'Mapa final'!$A$77),"")</f>
        <v/>
      </c>
      <c r="O44" s="266"/>
      <c r="P44" s="264" t="str">
        <f>IF(AND('Mapa final'!$J$65="Muy Baja",'Mapa final'!$N$65="Menor"),CONCATENATE("R",'Mapa final'!$A$65),"")</f>
        <v/>
      </c>
      <c r="Q44" s="265"/>
      <c r="R44" s="265" t="str">
        <f>IF(AND('Mapa final'!$J$71="Muy Baja",'Mapa final'!$N$71="Menor"),CONCATENATE("R",'Mapa final'!$A$71),"")</f>
        <v/>
      </c>
      <c r="S44" s="265"/>
      <c r="T44" s="265" t="str">
        <f>IF(AND('Mapa final'!$J$77="Muy Baja",'Mapa final'!$N$77="Menor"),CONCATENATE("R",'Mapa final'!$A$77),"")</f>
        <v/>
      </c>
      <c r="U44" s="266"/>
      <c r="V44" s="273" t="str">
        <f>IF(AND('Mapa final'!$J$65="Muy Baja",'Mapa final'!$N$65="Moderado"),CONCATENATE("R",'Mapa final'!$A$65),"")</f>
        <v/>
      </c>
      <c r="W44" s="274"/>
      <c r="X44" s="274" t="str">
        <f>IF(AND('Mapa final'!$J$71="Muy Baja",'Mapa final'!$N$71="Moderado"),CONCATENATE("R",'Mapa final'!$A$71),"")</f>
        <v/>
      </c>
      <c r="Y44" s="274"/>
      <c r="Z44" s="274" t="str">
        <f>IF(AND('Mapa final'!$J$77="Muy Baja",'Mapa final'!$N$77="Moderado"),CONCATENATE("R",'Mapa final'!$A$77),"")</f>
        <v/>
      </c>
      <c r="AA44" s="275"/>
      <c r="AB44" s="291" t="str">
        <f>IF(AND('Mapa final'!$J$65="Muy Baja",'Mapa final'!$N$65="Mayor"),CONCATENATE("R",'Mapa final'!$A$65),"")</f>
        <v/>
      </c>
      <c r="AC44" s="292"/>
      <c r="AD44" s="293" t="str">
        <f>IF(AND('Mapa final'!$J$71="Muy Baja",'Mapa final'!$N$71="Mayor"),CONCATENATE("R",'Mapa final'!$A$71),"")</f>
        <v/>
      </c>
      <c r="AE44" s="293"/>
      <c r="AF44" s="293" t="str">
        <f>IF(AND('Mapa final'!$J$77="Muy Baja",'Mapa final'!$N$77="Mayor"),CONCATENATE("R",'Mapa final'!$A$77),"")</f>
        <v/>
      </c>
      <c r="AG44" s="294"/>
      <c r="AH44" s="282" t="str">
        <f>IF(AND('Mapa final'!$J$65="Muy Baja",'Mapa final'!$N$65="Catastrófico"),CONCATENATE("R",'Mapa final'!$A$65),"")</f>
        <v/>
      </c>
      <c r="AI44" s="283"/>
      <c r="AJ44" s="283" t="str">
        <f>IF(AND('Mapa final'!$J$71="Muy Baja",'Mapa final'!$N$71="Catastrófico"),CONCATENATE("R",'Mapa final'!$A$71),"")</f>
        <v/>
      </c>
      <c r="AK44" s="283"/>
      <c r="AL44" s="283" t="str">
        <f>IF(AND('Mapa final'!$J$77="Muy Baja",'Mapa final'!$N$77="Catastrófico"),CONCATENATE("R",'Mapa final'!$A$77),"")</f>
        <v/>
      </c>
      <c r="AM44" s="2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313"/>
      <c r="C45" s="313"/>
      <c r="D45" s="314"/>
      <c r="E45" s="308"/>
      <c r="F45" s="309"/>
      <c r="G45" s="309"/>
      <c r="H45" s="309"/>
      <c r="I45" s="310"/>
      <c r="J45" s="267"/>
      <c r="K45" s="268"/>
      <c r="L45" s="268"/>
      <c r="M45" s="268"/>
      <c r="N45" s="268"/>
      <c r="O45" s="269"/>
      <c r="P45" s="267"/>
      <c r="Q45" s="268"/>
      <c r="R45" s="268"/>
      <c r="S45" s="268"/>
      <c r="T45" s="268"/>
      <c r="U45" s="269"/>
      <c r="V45" s="276"/>
      <c r="W45" s="277"/>
      <c r="X45" s="277"/>
      <c r="Y45" s="277"/>
      <c r="Z45" s="277"/>
      <c r="AA45" s="278"/>
      <c r="AB45" s="295"/>
      <c r="AC45" s="296"/>
      <c r="AD45" s="296"/>
      <c r="AE45" s="296"/>
      <c r="AF45" s="296"/>
      <c r="AG45" s="297"/>
      <c r="AH45" s="285"/>
      <c r="AI45" s="286"/>
      <c r="AJ45" s="286"/>
      <c r="AK45" s="286"/>
      <c r="AL45" s="286"/>
      <c r="AM45" s="287"/>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302" t="s">
        <v>104</v>
      </c>
      <c r="K46" s="303"/>
      <c r="L46" s="303"/>
      <c r="M46" s="303"/>
      <c r="N46" s="303"/>
      <c r="O46" s="304"/>
      <c r="P46" s="302" t="s">
        <v>103</v>
      </c>
      <c r="Q46" s="303"/>
      <c r="R46" s="303"/>
      <c r="S46" s="303"/>
      <c r="T46" s="303"/>
      <c r="U46" s="304"/>
      <c r="V46" s="302" t="s">
        <v>102</v>
      </c>
      <c r="W46" s="303"/>
      <c r="X46" s="303"/>
      <c r="Y46" s="303"/>
      <c r="Z46" s="303"/>
      <c r="AA46" s="304"/>
      <c r="AB46" s="302" t="s">
        <v>101</v>
      </c>
      <c r="AC46" s="312"/>
      <c r="AD46" s="303"/>
      <c r="AE46" s="303"/>
      <c r="AF46" s="303"/>
      <c r="AG46" s="304"/>
      <c r="AH46" s="302" t="s">
        <v>100</v>
      </c>
      <c r="AI46" s="303"/>
      <c r="AJ46" s="303"/>
      <c r="AK46" s="303"/>
      <c r="AL46" s="303"/>
      <c r="AM46" s="30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5"/>
      <c r="K47" s="306"/>
      <c r="L47" s="306"/>
      <c r="M47" s="306"/>
      <c r="N47" s="306"/>
      <c r="O47" s="307"/>
      <c r="P47" s="305"/>
      <c r="Q47" s="306"/>
      <c r="R47" s="306"/>
      <c r="S47" s="306"/>
      <c r="T47" s="306"/>
      <c r="U47" s="307"/>
      <c r="V47" s="305"/>
      <c r="W47" s="306"/>
      <c r="X47" s="306"/>
      <c r="Y47" s="306"/>
      <c r="Z47" s="306"/>
      <c r="AA47" s="307"/>
      <c r="AB47" s="305"/>
      <c r="AC47" s="306"/>
      <c r="AD47" s="306"/>
      <c r="AE47" s="306"/>
      <c r="AF47" s="306"/>
      <c r="AG47" s="307"/>
      <c r="AH47" s="305"/>
      <c r="AI47" s="306"/>
      <c r="AJ47" s="306"/>
      <c r="AK47" s="306"/>
      <c r="AL47" s="306"/>
      <c r="AM47" s="307"/>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5"/>
      <c r="K48" s="306"/>
      <c r="L48" s="306"/>
      <c r="M48" s="306"/>
      <c r="N48" s="306"/>
      <c r="O48" s="307"/>
      <c r="P48" s="305"/>
      <c r="Q48" s="306"/>
      <c r="R48" s="306"/>
      <c r="S48" s="306"/>
      <c r="T48" s="306"/>
      <c r="U48" s="307"/>
      <c r="V48" s="305"/>
      <c r="W48" s="306"/>
      <c r="X48" s="306"/>
      <c r="Y48" s="306"/>
      <c r="Z48" s="306"/>
      <c r="AA48" s="307"/>
      <c r="AB48" s="305"/>
      <c r="AC48" s="306"/>
      <c r="AD48" s="306"/>
      <c r="AE48" s="306"/>
      <c r="AF48" s="306"/>
      <c r="AG48" s="307"/>
      <c r="AH48" s="305"/>
      <c r="AI48" s="306"/>
      <c r="AJ48" s="306"/>
      <c r="AK48" s="306"/>
      <c r="AL48" s="306"/>
      <c r="AM48" s="307"/>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5"/>
      <c r="K49" s="306"/>
      <c r="L49" s="306"/>
      <c r="M49" s="306"/>
      <c r="N49" s="306"/>
      <c r="O49" s="307"/>
      <c r="P49" s="305"/>
      <c r="Q49" s="306"/>
      <c r="R49" s="306"/>
      <c r="S49" s="306"/>
      <c r="T49" s="306"/>
      <c r="U49" s="307"/>
      <c r="V49" s="305"/>
      <c r="W49" s="306"/>
      <c r="X49" s="306"/>
      <c r="Y49" s="306"/>
      <c r="Z49" s="306"/>
      <c r="AA49" s="307"/>
      <c r="AB49" s="305"/>
      <c r="AC49" s="306"/>
      <c r="AD49" s="306"/>
      <c r="AE49" s="306"/>
      <c r="AF49" s="306"/>
      <c r="AG49" s="307"/>
      <c r="AH49" s="305"/>
      <c r="AI49" s="306"/>
      <c r="AJ49" s="306"/>
      <c r="AK49" s="306"/>
      <c r="AL49" s="306"/>
      <c r="AM49" s="307"/>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5"/>
      <c r="K50" s="306"/>
      <c r="L50" s="306"/>
      <c r="M50" s="306"/>
      <c r="N50" s="306"/>
      <c r="O50" s="307"/>
      <c r="P50" s="305"/>
      <c r="Q50" s="306"/>
      <c r="R50" s="306"/>
      <c r="S50" s="306"/>
      <c r="T50" s="306"/>
      <c r="U50" s="307"/>
      <c r="V50" s="305"/>
      <c r="W50" s="306"/>
      <c r="X50" s="306"/>
      <c r="Y50" s="306"/>
      <c r="Z50" s="306"/>
      <c r="AA50" s="307"/>
      <c r="AB50" s="305"/>
      <c r="AC50" s="306"/>
      <c r="AD50" s="306"/>
      <c r="AE50" s="306"/>
      <c r="AF50" s="306"/>
      <c r="AG50" s="307"/>
      <c r="AH50" s="305"/>
      <c r="AI50" s="306"/>
      <c r="AJ50" s="306"/>
      <c r="AK50" s="306"/>
      <c r="AL50" s="306"/>
      <c r="AM50" s="307"/>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8"/>
      <c r="K51" s="309"/>
      <c r="L51" s="309"/>
      <c r="M51" s="309"/>
      <c r="N51" s="309"/>
      <c r="O51" s="310"/>
      <c r="P51" s="308"/>
      <c r="Q51" s="309"/>
      <c r="R51" s="309"/>
      <c r="S51" s="309"/>
      <c r="T51" s="309"/>
      <c r="U51" s="310"/>
      <c r="V51" s="308"/>
      <c r="W51" s="309"/>
      <c r="X51" s="309"/>
      <c r="Y51" s="309"/>
      <c r="Z51" s="309"/>
      <c r="AA51" s="310"/>
      <c r="AB51" s="308"/>
      <c r="AC51" s="309"/>
      <c r="AD51" s="309"/>
      <c r="AE51" s="309"/>
      <c r="AF51" s="309"/>
      <c r="AG51" s="310"/>
      <c r="AH51" s="308"/>
      <c r="AI51" s="309"/>
      <c r="AJ51" s="309"/>
      <c r="AK51" s="309"/>
      <c r="AL51" s="309"/>
      <c r="AM51" s="310"/>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B2" sqref="B2:I4"/>
    </sheetView>
  </sheetViews>
  <sheetFormatPr baseColWidth="10" defaultRowHeight="14.4" x14ac:dyDescent="0.3"/>
  <cols>
    <col min="2" max="18" width="5.6640625" customWidth="1"/>
    <col min="19" max="19" width="8.44140625" customWidth="1"/>
    <col min="20" max="23" width="5.6640625" customWidth="1"/>
    <col min="24" max="24" width="8.44140625" customWidth="1"/>
    <col min="25" max="26" width="5.6640625" customWidth="1"/>
    <col min="27" max="27" width="10.6640625" customWidth="1"/>
    <col min="28" max="28" width="5.6640625" customWidth="1"/>
    <col min="29" max="29" width="7.44140625" customWidth="1"/>
    <col min="30" max="33" width="5.6640625" customWidth="1"/>
    <col min="34" max="34" width="8.4414062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81" t="s">
        <v>143</v>
      </c>
      <c r="C2" s="382"/>
      <c r="D2" s="382"/>
      <c r="E2" s="382"/>
      <c r="F2" s="382"/>
      <c r="G2" s="382"/>
      <c r="H2" s="382"/>
      <c r="I2" s="382"/>
      <c r="J2" s="301" t="s">
        <v>2</v>
      </c>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82"/>
      <c r="C3" s="382"/>
      <c r="D3" s="382"/>
      <c r="E3" s="382"/>
      <c r="F3" s="382"/>
      <c r="G3" s="382"/>
      <c r="H3" s="382"/>
      <c r="I3" s="382"/>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82"/>
      <c r="C4" s="382"/>
      <c r="D4" s="382"/>
      <c r="E4" s="382"/>
      <c r="F4" s="382"/>
      <c r="G4" s="382"/>
      <c r="H4" s="382"/>
      <c r="I4" s="382"/>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313" t="s">
        <v>3</v>
      </c>
      <c r="C6" s="313"/>
      <c r="D6" s="314"/>
      <c r="E6" s="351" t="s">
        <v>108</v>
      </c>
      <c r="F6" s="352"/>
      <c r="G6" s="352"/>
      <c r="H6" s="352"/>
      <c r="I6" s="353"/>
      <c r="J6" s="46" t="str">
        <f>IF(AND('Mapa final'!$AA$11="Muy Alta",'Mapa final'!$AC$11="Leve"),CONCATENATE("R1C",'Mapa final'!$Q$11),"")</f>
        <v/>
      </c>
      <c r="K6" s="47" t="str">
        <f>IF(AND('Mapa final'!$AA$12="Muy Alta",'Mapa final'!$AC$12="Leve"),CONCATENATE("R1C",'Mapa final'!$Q$12),"")</f>
        <v/>
      </c>
      <c r="L6" s="47" t="str">
        <f>IF(AND('Mapa final'!$AA$13="Muy Alta",'Mapa final'!$AC$13="Leve"),CONCATENATE("R1C",'Mapa final'!$Q$13),"")</f>
        <v/>
      </c>
      <c r="M6" s="47" t="str">
        <f>IF(AND('Mapa final'!$AA$14="Muy Alta",'Mapa final'!$AC$14="Leve"),CONCATENATE("R1C",'Mapa final'!$Q$14),"")</f>
        <v/>
      </c>
      <c r="N6" s="47" t="str">
        <f>IF(AND('Mapa final'!$AA$15="Muy Alta",'Mapa final'!$AC$15="Leve"),CONCATENATE("R1C",'Mapa final'!$Q$15),"")</f>
        <v/>
      </c>
      <c r="O6" s="48" t="str">
        <f>IF(AND('Mapa final'!$AA$16="Muy Alta",'Mapa final'!$AC$16="Leve"),CONCATENATE("R1C",'Mapa final'!$Q$16),"")</f>
        <v/>
      </c>
      <c r="P6" s="46" t="str">
        <f>IF(AND('Mapa final'!$AA$11="Muy Alta",'Mapa final'!$AC$11="Menor"),CONCATENATE("R1C",'Mapa final'!$Q$11),"")</f>
        <v/>
      </c>
      <c r="Q6" s="47" t="str">
        <f>IF(AND('Mapa final'!$AA$12="Muy Alta",'Mapa final'!$AC$12="Menor"),CONCATENATE("R1C",'Mapa final'!$Q$12),"")</f>
        <v/>
      </c>
      <c r="R6" s="47" t="str">
        <f>IF(AND('Mapa final'!$AA$13="Muy Alta",'Mapa final'!$AC$13="Menor"),CONCATENATE("R1C",'Mapa final'!$Q$13),"")</f>
        <v/>
      </c>
      <c r="S6" s="47" t="str">
        <f>IF(AND('Mapa final'!$AA$14="Muy Alta",'Mapa final'!$AC$14="Menor"),CONCATENATE("R1C",'Mapa final'!$Q$14),"")</f>
        <v/>
      </c>
      <c r="T6" s="47" t="str">
        <f>IF(AND('Mapa final'!$AA$15="Muy Alta",'Mapa final'!$AC$15="Menor"),CONCATENATE("R1C",'Mapa final'!$Q$15),"")</f>
        <v/>
      </c>
      <c r="U6" s="48" t="str">
        <f>IF(AND('Mapa final'!$AA$16="Muy Alta",'Mapa final'!$AC$16="Menor"),CONCATENATE("R1C",'Mapa final'!$Q$16),"")</f>
        <v/>
      </c>
      <c r="V6" s="46" t="str">
        <f>IF(AND('Mapa final'!$AA$11="Muy Alta",'Mapa final'!$AC$11="Moderado"),CONCATENATE("R1C",'Mapa final'!$Q$11),"")</f>
        <v/>
      </c>
      <c r="W6" s="47" t="str">
        <f>IF(AND('Mapa final'!$AA$12="Muy Alta",'Mapa final'!$AC$12="Moderado"),CONCATENATE("R1C",'Mapa final'!$Q$12),"")</f>
        <v/>
      </c>
      <c r="X6" s="47" t="str">
        <f>IF(AND('Mapa final'!$AA$13="Muy Alta",'Mapa final'!$AC$13="Moderado"),CONCATENATE("R1C",'Mapa final'!$Q$13),"")</f>
        <v/>
      </c>
      <c r="Y6" s="47" t="str">
        <f>IF(AND('Mapa final'!$AA$14="Muy Alta",'Mapa final'!$AC$14="Moderado"),CONCATENATE("R1C",'Mapa final'!$Q$14),"")</f>
        <v/>
      </c>
      <c r="Z6" s="47" t="str">
        <f>IF(AND('Mapa final'!$AA$15="Muy Alta",'Mapa final'!$AC$15="Moderado"),CONCATENATE("R1C",'Mapa final'!$Q$15),"")</f>
        <v/>
      </c>
      <c r="AA6" s="48" t="str">
        <f>IF(AND('Mapa final'!$AA$16="Muy Alta",'Mapa final'!$AC$16="Moderado"),CONCATENATE("R1C",'Mapa final'!$Q$16),"")</f>
        <v/>
      </c>
      <c r="AB6" s="46" t="str">
        <f>IF(AND('Mapa final'!$AA$11="Muy Alta",'Mapa final'!$AC$11="Mayor"),CONCATENATE("R1C",'Mapa final'!$Q$11),"")</f>
        <v/>
      </c>
      <c r="AC6" s="47" t="str">
        <f>IF(AND('Mapa final'!$AA$12="Muy Alta",'Mapa final'!$AC$12="Mayor"),CONCATENATE("R1C",'Mapa final'!$Q$12),"")</f>
        <v/>
      </c>
      <c r="AD6" s="47" t="str">
        <f>IF(AND('Mapa final'!$AA$13="Muy Alta",'Mapa final'!$AC$13="Mayor"),CONCATENATE("R1C",'Mapa final'!$Q$13),"")</f>
        <v/>
      </c>
      <c r="AE6" s="47" t="str">
        <f>IF(AND('Mapa final'!$AA$14="Muy Alta",'Mapa final'!$AC$14="Mayor"),CONCATENATE("R1C",'Mapa final'!$Q$14),"")</f>
        <v/>
      </c>
      <c r="AF6" s="47" t="str">
        <f>IF(AND('Mapa final'!$AA$15="Muy Alta",'Mapa final'!$AC$15="Mayor"),CONCATENATE("R1C",'Mapa final'!$Q$15),"")</f>
        <v/>
      </c>
      <c r="AG6" s="48" t="str">
        <f>IF(AND('Mapa final'!$AA$16="Muy Alta",'Mapa final'!$AC$16="Mayor"),CONCATENATE("R1C",'Mapa final'!$Q$16),"")</f>
        <v/>
      </c>
      <c r="AH6" s="49" t="str">
        <f>IF(AND('Mapa final'!$AA$11="Muy Alta",'Mapa final'!$AC$11="Catastrófico"),CONCATENATE("R1C",'Mapa final'!$Q$11),"")</f>
        <v/>
      </c>
      <c r="AI6" s="50" t="str">
        <f>IF(AND('Mapa final'!$AA$12="Muy Alta",'Mapa final'!$AC$12="Catastrófico"),CONCATENATE("R1C",'Mapa final'!$Q$12),"")</f>
        <v/>
      </c>
      <c r="AJ6" s="50" t="str">
        <f>IF(AND('Mapa final'!$AA$13="Muy Alta",'Mapa final'!$AC$13="Catastrófico"),CONCATENATE("R1C",'Mapa final'!$Q$13),"")</f>
        <v/>
      </c>
      <c r="AK6" s="50" t="str">
        <f>IF(AND('Mapa final'!$AA$14="Muy Alta",'Mapa final'!$AC$14="Catastrófico"),CONCATENATE("R1C",'Mapa final'!$Q$14),"")</f>
        <v/>
      </c>
      <c r="AL6" s="50" t="str">
        <f>IF(AND('Mapa final'!$AA$15="Muy Alta",'Mapa final'!$AC$15="Catastrófico"),CONCATENATE("R1C",'Mapa final'!$Q$15),"")</f>
        <v/>
      </c>
      <c r="AM6" s="51" t="str">
        <f>IF(AND('Mapa final'!$AA$16="Muy Alta",'Mapa final'!$AC$16="Catastrófico"),CONCATENATE("R1C",'Mapa final'!$Q$16),"")</f>
        <v/>
      </c>
      <c r="AN6" s="84"/>
      <c r="AO6" s="372" t="s">
        <v>76</v>
      </c>
      <c r="AP6" s="373"/>
      <c r="AQ6" s="373"/>
      <c r="AR6" s="373"/>
      <c r="AS6" s="373"/>
      <c r="AT6" s="37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313"/>
      <c r="C7" s="313"/>
      <c r="D7" s="314"/>
      <c r="E7" s="354"/>
      <c r="F7" s="355"/>
      <c r="G7" s="355"/>
      <c r="H7" s="355"/>
      <c r="I7" s="356"/>
      <c r="J7" s="52" t="str">
        <f>IF(AND('Mapa final'!$AA$17="Muy Alta",'Mapa final'!$AC$17="Leve"),CONCATENATE("R2C",'Mapa final'!$Q$17),"")</f>
        <v/>
      </c>
      <c r="K7" s="53" t="str">
        <f>IF(AND('Mapa final'!$AA$18="Muy Alta",'Mapa final'!$AC$18="Leve"),CONCATENATE("R2C",'Mapa final'!$Q$18),"")</f>
        <v/>
      </c>
      <c r="L7" s="53" t="str">
        <f>IF(AND('Mapa final'!$AA$19="Muy Alta",'Mapa final'!$AC$19="Leve"),CONCATENATE("R2C",'Mapa final'!$Q$19),"")</f>
        <v/>
      </c>
      <c r="M7" s="53" t="str">
        <f>IF(AND('Mapa final'!$AA$20="Muy Alta",'Mapa final'!$AC$20="Leve"),CONCATENATE("R2C",'Mapa final'!$Q$20),"")</f>
        <v/>
      </c>
      <c r="N7" s="53" t="str">
        <f>IF(AND('Mapa final'!$AA$21="Muy Alta",'Mapa final'!$AC$21="Leve"),CONCATENATE("R2C",'Mapa final'!$Q$21),"")</f>
        <v/>
      </c>
      <c r="O7" s="54" t="str">
        <f>IF(AND('Mapa final'!$AA$22="Muy Alta",'Mapa final'!$AC$22="Leve"),CONCATENATE("R2C",'Mapa final'!$Q$22),"")</f>
        <v/>
      </c>
      <c r="P7" s="52" t="str">
        <f>IF(AND('Mapa final'!$AA$17="Muy Alta",'Mapa final'!$AC$17="Menor"),CONCATENATE("R2C",'Mapa final'!$Q$17),"")</f>
        <v/>
      </c>
      <c r="Q7" s="53" t="str">
        <f>IF(AND('Mapa final'!$AA$18="Muy Alta",'Mapa final'!$AC$18="Menor"),CONCATENATE("R2C",'Mapa final'!$Q$18),"")</f>
        <v/>
      </c>
      <c r="R7" s="53" t="str">
        <f>IF(AND('Mapa final'!$AA$19="Muy Alta",'Mapa final'!$AC$19="Menor"),CONCATENATE("R2C",'Mapa final'!$Q$19),"")</f>
        <v/>
      </c>
      <c r="S7" s="53" t="str">
        <f>IF(AND('Mapa final'!$AA$20="Muy Alta",'Mapa final'!$AC$20="Menor"),CONCATENATE("R2C",'Mapa final'!$Q$20),"")</f>
        <v/>
      </c>
      <c r="T7" s="53" t="str">
        <f>IF(AND('Mapa final'!$AA$21="Muy Alta",'Mapa final'!$AC$21="Menor"),CONCATENATE("R2C",'Mapa final'!$Q$21),"")</f>
        <v/>
      </c>
      <c r="U7" s="54" t="str">
        <f>IF(AND('Mapa final'!$AA$22="Muy Alta",'Mapa final'!$AC$22="Menor"),CONCATENATE("R2C",'Mapa final'!$Q$22),"")</f>
        <v/>
      </c>
      <c r="V7" s="52" t="str">
        <f>IF(AND('Mapa final'!$AA$17="Muy Alta",'Mapa final'!$AC$17="Moderado"),CONCATENATE("R2C",'Mapa final'!$Q$17),"")</f>
        <v/>
      </c>
      <c r="W7" s="53" t="str">
        <f>IF(AND('Mapa final'!$AA$18="Muy Alta",'Mapa final'!$AC$18="Moderado"),CONCATENATE("R2C",'Mapa final'!$Q$18),"")</f>
        <v/>
      </c>
      <c r="X7" s="53" t="str">
        <f>IF(AND('Mapa final'!$AA$19="Muy Alta",'Mapa final'!$AC$19="Moderado"),CONCATENATE("R2C",'Mapa final'!$Q$19),"")</f>
        <v/>
      </c>
      <c r="Y7" s="53" t="str">
        <f>IF(AND('Mapa final'!$AA$20="Muy Alta",'Mapa final'!$AC$20="Moderado"),CONCATENATE("R2C",'Mapa final'!$Q$20),"")</f>
        <v/>
      </c>
      <c r="Z7" s="53" t="str">
        <f>IF(AND('Mapa final'!$AA$21="Muy Alta",'Mapa final'!$AC$21="Moderado"),CONCATENATE("R2C",'Mapa final'!$Q$21),"")</f>
        <v/>
      </c>
      <c r="AA7" s="54" t="str">
        <f>IF(AND('Mapa final'!$AA$22="Muy Alta",'Mapa final'!$AC$22="Moderado"),CONCATENATE("R2C",'Mapa final'!$Q$22),"")</f>
        <v/>
      </c>
      <c r="AB7" s="52" t="str">
        <f>IF(AND('Mapa final'!$AA$17="Muy Alta",'Mapa final'!$AC$17="Mayor"),CONCATENATE("R2C",'Mapa final'!$Q$17),"")</f>
        <v/>
      </c>
      <c r="AC7" s="53" t="str">
        <f>IF(AND('Mapa final'!$AA$18="Muy Alta",'Mapa final'!$AC$18="Mayor"),CONCATENATE("R2C",'Mapa final'!$Q$18),"")</f>
        <v/>
      </c>
      <c r="AD7" s="53" t="str">
        <f>IF(AND('Mapa final'!$AA$19="Muy Alta",'Mapa final'!$AC$19="Mayor"),CONCATENATE("R2C",'Mapa final'!$Q$19),"")</f>
        <v/>
      </c>
      <c r="AE7" s="53" t="str">
        <f>IF(AND('Mapa final'!$AA$20="Muy Alta",'Mapa final'!$AC$20="Mayor"),CONCATENATE("R2C",'Mapa final'!$Q$20),"")</f>
        <v/>
      </c>
      <c r="AF7" s="53" t="str">
        <f>IF(AND('Mapa final'!$AA$21="Muy Alta",'Mapa final'!$AC$21="Mayor"),CONCATENATE("R2C",'Mapa final'!$Q$21),"")</f>
        <v/>
      </c>
      <c r="AG7" s="54" t="str">
        <f>IF(AND('Mapa final'!$AA$22="Muy Alta",'Mapa final'!$AC$22="Mayor"),CONCATENATE("R2C",'Mapa final'!$Q$22),"")</f>
        <v/>
      </c>
      <c r="AH7" s="55" t="str">
        <f>IF(AND('Mapa final'!$AA$17="Muy Alta",'Mapa final'!$AC$17="Catastrófico"),CONCATENATE("R2C",'Mapa final'!$Q$17),"")</f>
        <v/>
      </c>
      <c r="AI7" s="56" t="str">
        <f>IF(AND('Mapa final'!$AA$18="Muy Alta",'Mapa final'!$AC$18="Catastrófico"),CONCATENATE("R2C",'Mapa final'!$Q$18),"")</f>
        <v/>
      </c>
      <c r="AJ7" s="56" t="str">
        <f>IF(AND('Mapa final'!$AA$19="Muy Alta",'Mapa final'!$AC$19="Catastrófico"),CONCATENATE("R2C",'Mapa final'!$Q$19),"")</f>
        <v/>
      </c>
      <c r="AK7" s="56" t="str">
        <f>IF(AND('Mapa final'!$AA$20="Muy Alta",'Mapa final'!$AC$20="Catastrófico"),CONCATENATE("R2C",'Mapa final'!$Q$20),"")</f>
        <v/>
      </c>
      <c r="AL7" s="56" t="str">
        <f>IF(AND('Mapa final'!$AA$21="Muy Alta",'Mapa final'!$AC$21="Catastrófico"),CONCATENATE("R2C",'Mapa final'!$Q$21),"")</f>
        <v/>
      </c>
      <c r="AM7" s="57" t="str">
        <f>IF(AND('Mapa final'!$AA$22="Muy Alta",'Mapa final'!$AC$22="Catastrófico"),CONCATENATE("R2C",'Mapa final'!$Q$22),"")</f>
        <v/>
      </c>
      <c r="AN7" s="84"/>
      <c r="AO7" s="375"/>
      <c r="AP7" s="376"/>
      <c r="AQ7" s="376"/>
      <c r="AR7" s="376"/>
      <c r="AS7" s="376"/>
      <c r="AT7" s="377"/>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313"/>
      <c r="C8" s="313"/>
      <c r="D8" s="314"/>
      <c r="E8" s="354"/>
      <c r="F8" s="355"/>
      <c r="G8" s="355"/>
      <c r="H8" s="355"/>
      <c r="I8" s="356"/>
      <c r="J8" s="52" t="str">
        <f>IF(AND('Mapa final'!$AA$23="Muy Alta",'Mapa final'!$AC$23="Leve"),CONCATENATE("R3C",'Mapa final'!$Q$23),"")</f>
        <v/>
      </c>
      <c r="K8" s="53" t="str">
        <f>IF(AND('Mapa final'!$AA$24="Muy Alta",'Mapa final'!$AC$24="Leve"),CONCATENATE("R3C",'Mapa final'!$Q$24),"")</f>
        <v/>
      </c>
      <c r="L8" s="53" t="str">
        <f>IF(AND('Mapa final'!$AA$25="Muy Alta",'Mapa final'!$AC$25="Leve"),CONCATENATE("R3C",'Mapa final'!$Q$25),"")</f>
        <v/>
      </c>
      <c r="M8" s="53" t="str">
        <f>IF(AND('Mapa final'!$AA$26="Muy Alta",'Mapa final'!$AC$26="Leve"),CONCATENATE("R3C",'Mapa final'!$Q$26),"")</f>
        <v/>
      </c>
      <c r="N8" s="53" t="str">
        <f>IF(AND('Mapa final'!$AA$27="Muy Alta",'Mapa final'!$AC$27="Leve"),CONCATENATE("R3C",'Mapa final'!$Q$27),"")</f>
        <v/>
      </c>
      <c r="O8" s="54" t="str">
        <f>IF(AND('Mapa final'!$AA$28="Muy Alta",'Mapa final'!$AC$28="Leve"),CONCATENATE("R3C",'Mapa final'!$Q$28),"")</f>
        <v/>
      </c>
      <c r="P8" s="52" t="str">
        <f>IF(AND('Mapa final'!$AA$23="Muy Alta",'Mapa final'!$AC$23="Menor"),CONCATENATE("R3C",'Mapa final'!$Q$23),"")</f>
        <v/>
      </c>
      <c r="Q8" s="53" t="str">
        <f>IF(AND('Mapa final'!$AA$24="Muy Alta",'Mapa final'!$AC$24="Menor"),CONCATENATE("R3C",'Mapa final'!$Q$24),"")</f>
        <v/>
      </c>
      <c r="R8" s="53" t="str">
        <f>IF(AND('Mapa final'!$AA$25="Muy Alta",'Mapa final'!$AC$25="Menor"),CONCATENATE("R3C",'Mapa final'!$Q$25),"")</f>
        <v/>
      </c>
      <c r="S8" s="53" t="str">
        <f>IF(AND('Mapa final'!$AA$26="Muy Alta",'Mapa final'!$AC$26="Menor"),CONCATENATE("R3C",'Mapa final'!$Q$26),"")</f>
        <v/>
      </c>
      <c r="T8" s="53" t="str">
        <f>IF(AND('Mapa final'!$AA$27="Muy Alta",'Mapa final'!$AC$27="Menor"),CONCATENATE("R3C",'Mapa final'!$Q$27),"")</f>
        <v/>
      </c>
      <c r="U8" s="54" t="str">
        <f>IF(AND('Mapa final'!$AA$28="Muy Alta",'Mapa final'!$AC$28="Menor"),CONCATENATE("R3C",'Mapa final'!$Q$28),"")</f>
        <v/>
      </c>
      <c r="V8" s="52" t="str">
        <f>IF(AND('Mapa final'!$AA$23="Muy Alta",'Mapa final'!$AC$23="Moderado"),CONCATENATE("R3C",'Mapa final'!$Q$23),"")</f>
        <v/>
      </c>
      <c r="W8" s="53" t="str">
        <f>IF(AND('Mapa final'!$AA$24="Muy Alta",'Mapa final'!$AC$24="Moderado"),CONCATENATE("R3C",'Mapa final'!$Q$24),"")</f>
        <v/>
      </c>
      <c r="X8" s="53" t="str">
        <f>IF(AND('Mapa final'!$AA$25="Muy Alta",'Mapa final'!$AC$25="Moderado"),CONCATENATE("R3C",'Mapa final'!$Q$25),"")</f>
        <v/>
      </c>
      <c r="Y8" s="53" t="str">
        <f>IF(AND('Mapa final'!$AA$26="Muy Alta",'Mapa final'!$AC$26="Moderado"),CONCATENATE("R3C",'Mapa final'!$Q$26),"")</f>
        <v/>
      </c>
      <c r="Z8" s="53" t="str">
        <f>IF(AND('Mapa final'!$AA$27="Muy Alta",'Mapa final'!$AC$27="Moderado"),CONCATENATE("R3C",'Mapa final'!$Q$27),"")</f>
        <v/>
      </c>
      <c r="AA8" s="54" t="str">
        <f>IF(AND('Mapa final'!$AA$28="Muy Alta",'Mapa final'!$AC$28="Moderado"),CONCATENATE("R3C",'Mapa final'!$Q$28),"")</f>
        <v/>
      </c>
      <c r="AB8" s="52" t="str">
        <f>IF(AND('Mapa final'!$AA$23="Muy Alta",'Mapa final'!$AC$23="Mayor"),CONCATENATE("R3C",'Mapa final'!$Q$23),"")</f>
        <v/>
      </c>
      <c r="AC8" s="53" t="str">
        <f>IF(AND('Mapa final'!$AA$24="Muy Alta",'Mapa final'!$AC$24="Mayor"),CONCATENATE("R3C",'Mapa final'!$Q$24),"")</f>
        <v/>
      </c>
      <c r="AD8" s="53" t="str">
        <f>IF(AND('Mapa final'!$AA$25="Muy Alta",'Mapa final'!$AC$25="Mayor"),CONCATENATE("R3C",'Mapa final'!$Q$25),"")</f>
        <v/>
      </c>
      <c r="AE8" s="53" t="str">
        <f>IF(AND('Mapa final'!$AA$26="Muy Alta",'Mapa final'!$AC$26="Mayor"),CONCATENATE("R3C",'Mapa final'!$Q$26),"")</f>
        <v/>
      </c>
      <c r="AF8" s="53" t="str">
        <f>IF(AND('Mapa final'!$AA$27="Muy Alta",'Mapa final'!$AC$27="Mayor"),CONCATENATE("R3C",'Mapa final'!$Q$27),"")</f>
        <v/>
      </c>
      <c r="AG8" s="54" t="str">
        <f>IF(AND('Mapa final'!$AA$28="Muy Alta",'Mapa final'!$AC$28="Mayor"),CONCATENATE("R3C",'Mapa final'!$Q$28),"")</f>
        <v/>
      </c>
      <c r="AH8" s="55" t="str">
        <f>IF(AND('Mapa final'!$AA$23="Muy Alta",'Mapa final'!$AC$23="Catastrófico"),CONCATENATE("R3C",'Mapa final'!$Q$23),"")</f>
        <v/>
      </c>
      <c r="AI8" s="56" t="str">
        <f>IF(AND('Mapa final'!$AA$24="Muy Alta",'Mapa final'!$AC$24="Catastrófico"),CONCATENATE("R3C",'Mapa final'!$Q$24),"")</f>
        <v/>
      </c>
      <c r="AJ8" s="56" t="str">
        <f>IF(AND('Mapa final'!$AA$25="Muy Alta",'Mapa final'!$AC$25="Catastrófico"),CONCATENATE("R3C",'Mapa final'!$Q$25),"")</f>
        <v/>
      </c>
      <c r="AK8" s="56" t="str">
        <f>IF(AND('Mapa final'!$AA$26="Muy Alta",'Mapa final'!$AC$26="Catastrófico"),CONCATENATE("R3C",'Mapa final'!$Q$26),"")</f>
        <v/>
      </c>
      <c r="AL8" s="56" t="str">
        <f>IF(AND('Mapa final'!$AA$27="Muy Alta",'Mapa final'!$AC$27="Catastrófico"),CONCATENATE("R3C",'Mapa final'!$Q$27),"")</f>
        <v/>
      </c>
      <c r="AM8" s="57" t="str">
        <f>IF(AND('Mapa final'!$AA$28="Muy Alta",'Mapa final'!$AC$28="Catastrófico"),CONCATENATE("R3C",'Mapa final'!$Q$28),"")</f>
        <v/>
      </c>
      <c r="AN8" s="84"/>
      <c r="AO8" s="375"/>
      <c r="AP8" s="376"/>
      <c r="AQ8" s="376"/>
      <c r="AR8" s="376"/>
      <c r="AS8" s="376"/>
      <c r="AT8" s="377"/>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313"/>
      <c r="C9" s="313"/>
      <c r="D9" s="314"/>
      <c r="E9" s="354"/>
      <c r="F9" s="355"/>
      <c r="G9" s="355"/>
      <c r="H9" s="355"/>
      <c r="I9" s="356"/>
      <c r="J9" s="52" t="str">
        <f>IF(AND('Mapa final'!$AA$29="Muy Alta",'Mapa final'!$AC$29="Leve"),CONCATENATE("R4C",'Mapa final'!$Q$29),"")</f>
        <v/>
      </c>
      <c r="K9" s="53" t="str">
        <f>IF(AND('Mapa final'!$AA$30="Muy Alta",'Mapa final'!$AC$30="Leve"),CONCATENATE("R4C",'Mapa final'!$Q$30),"")</f>
        <v/>
      </c>
      <c r="L9" s="58" t="str">
        <f>IF(AND('Mapa final'!$AA$31="Muy Alta",'Mapa final'!$AC$31="Leve"),CONCATENATE("R4C",'Mapa final'!$Q$31),"")</f>
        <v/>
      </c>
      <c r="M9" s="58" t="str">
        <f>IF(AND('Mapa final'!$AA$32="Muy Alta",'Mapa final'!$AC$32="Leve"),CONCATENATE("R4C",'Mapa final'!$Q$32),"")</f>
        <v/>
      </c>
      <c r="N9" s="58" t="str">
        <f>IF(AND('Mapa final'!$AA$33="Muy Alta",'Mapa final'!$AC$33="Leve"),CONCATENATE("R4C",'Mapa final'!$Q$33),"")</f>
        <v/>
      </c>
      <c r="O9" s="54" t="str">
        <f>IF(AND('Mapa final'!$AA$34="Muy Alta",'Mapa final'!$AC$34="Leve"),CONCATENATE("R4C",'Mapa final'!$Q$34),"")</f>
        <v/>
      </c>
      <c r="P9" s="52" t="str">
        <f>IF(AND('Mapa final'!$AA$29="Muy Alta",'Mapa final'!$AC$29="Menor"),CONCATENATE("R4C",'Mapa final'!$Q$29),"")</f>
        <v/>
      </c>
      <c r="Q9" s="53" t="str">
        <f>IF(AND('Mapa final'!$AA$30="Muy Alta",'Mapa final'!$AC$30="Menor"),CONCATENATE("R4C",'Mapa final'!$Q$30),"")</f>
        <v/>
      </c>
      <c r="R9" s="58" t="str">
        <f>IF(AND('Mapa final'!$AA$31="Muy Alta",'Mapa final'!$AC$31="Menor"),CONCATENATE("R4C",'Mapa final'!$Q$31),"")</f>
        <v/>
      </c>
      <c r="S9" s="58" t="str">
        <f>IF(AND('Mapa final'!$AA$32="Muy Alta",'Mapa final'!$AC$32="Menor"),CONCATENATE("R4C",'Mapa final'!$Q$32),"")</f>
        <v/>
      </c>
      <c r="T9" s="58" t="str">
        <f>IF(AND('Mapa final'!$AA$33="Muy Alta",'Mapa final'!$AC$33="Menor"),CONCATENATE("R4C",'Mapa final'!$Q$33),"")</f>
        <v/>
      </c>
      <c r="U9" s="54" t="str">
        <f>IF(AND('Mapa final'!$AA$34="Muy Alta",'Mapa final'!$AC$34="Menor"),CONCATENATE("R4C",'Mapa final'!$Q$34),"")</f>
        <v/>
      </c>
      <c r="V9" s="52" t="str">
        <f>IF(AND('Mapa final'!$AA$29="Muy Alta",'Mapa final'!$AC$29="Moderado"),CONCATENATE("R4C",'Mapa final'!$Q$29),"")</f>
        <v/>
      </c>
      <c r="W9" s="53" t="str">
        <f>IF(AND('Mapa final'!$AA$30="Muy Alta",'Mapa final'!$AC$30="Moderado"),CONCATENATE("R4C",'Mapa final'!$Q$30),"")</f>
        <v/>
      </c>
      <c r="X9" s="58" t="str">
        <f>IF(AND('Mapa final'!$AA$31="Muy Alta",'Mapa final'!$AC$31="Moderado"),CONCATENATE("R4C",'Mapa final'!$Q$31),"")</f>
        <v/>
      </c>
      <c r="Y9" s="58" t="str">
        <f>IF(AND('Mapa final'!$AA$32="Muy Alta",'Mapa final'!$AC$32="Moderado"),CONCATENATE("R4C",'Mapa final'!$Q$32),"")</f>
        <v/>
      </c>
      <c r="Z9" s="58" t="str">
        <f>IF(AND('Mapa final'!$AA$33="Muy Alta",'Mapa final'!$AC$33="Moderado"),CONCATENATE("R4C",'Mapa final'!$Q$33),"")</f>
        <v/>
      </c>
      <c r="AA9" s="54" t="str">
        <f>IF(AND('Mapa final'!$AA$34="Muy Alta",'Mapa final'!$AC$34="Moderado"),CONCATENATE("R4C",'Mapa final'!$Q$34),"")</f>
        <v/>
      </c>
      <c r="AB9" s="52" t="str">
        <f>IF(AND('Mapa final'!$AA$29="Muy Alta",'Mapa final'!$AC$29="Mayor"),CONCATENATE("R4C",'Mapa final'!$Q$29),"")</f>
        <v/>
      </c>
      <c r="AC9" s="53" t="str">
        <f>IF(AND('Mapa final'!$AA$30="Muy Alta",'Mapa final'!$AC$30="Mayor"),CONCATENATE("R4C",'Mapa final'!$Q$30),"")</f>
        <v/>
      </c>
      <c r="AD9" s="58" t="str">
        <f>IF(AND('Mapa final'!$AA$31="Muy Alta",'Mapa final'!$AC$31="Mayor"),CONCATENATE("R4C",'Mapa final'!$Q$31),"")</f>
        <v/>
      </c>
      <c r="AE9" s="58" t="str">
        <f>IF(AND('Mapa final'!$AA$32="Muy Alta",'Mapa final'!$AC$32="Mayor"),CONCATENATE("R4C",'Mapa final'!$Q$32),"")</f>
        <v/>
      </c>
      <c r="AF9" s="58" t="str">
        <f>IF(AND('Mapa final'!$AA$33="Muy Alta",'Mapa final'!$AC$33="Mayor"),CONCATENATE("R4C",'Mapa final'!$Q$33),"")</f>
        <v/>
      </c>
      <c r="AG9" s="54" t="str">
        <f>IF(AND('Mapa final'!$AA$34="Muy Alta",'Mapa final'!$AC$34="Mayor"),CONCATENATE("R4C",'Mapa final'!$Q$34),"")</f>
        <v/>
      </c>
      <c r="AH9" s="55" t="str">
        <f>IF(AND('Mapa final'!$AA$29="Muy Alta",'Mapa final'!$AC$29="Catastrófico"),CONCATENATE("R4C",'Mapa final'!$Q$29),"")</f>
        <v/>
      </c>
      <c r="AI9" s="56" t="str">
        <f>IF(AND('Mapa final'!$AA$30="Muy Alta",'Mapa final'!$AC$30="Catastrófico"),CONCATENATE("R4C",'Mapa final'!$Q$30),"")</f>
        <v/>
      </c>
      <c r="AJ9" s="56" t="str">
        <f>IF(AND('Mapa final'!$AA$31="Muy Alta",'Mapa final'!$AC$31="Catastrófico"),CONCATENATE("R4C",'Mapa final'!$Q$31),"")</f>
        <v/>
      </c>
      <c r="AK9" s="56" t="str">
        <f>IF(AND('Mapa final'!$AA$32="Muy Alta",'Mapa final'!$AC$32="Catastrófico"),CONCATENATE("R4C",'Mapa final'!$Q$32),"")</f>
        <v/>
      </c>
      <c r="AL9" s="56" t="str">
        <f>IF(AND('Mapa final'!$AA$33="Muy Alta",'Mapa final'!$AC$33="Catastrófico"),CONCATENATE("R4C",'Mapa final'!$Q$33),"")</f>
        <v/>
      </c>
      <c r="AM9" s="57" t="str">
        <f>IF(AND('Mapa final'!$AA$34="Muy Alta",'Mapa final'!$AC$34="Catastrófico"),CONCATENATE("R4C",'Mapa final'!$Q$34),"")</f>
        <v/>
      </c>
      <c r="AN9" s="84"/>
      <c r="AO9" s="375"/>
      <c r="AP9" s="376"/>
      <c r="AQ9" s="376"/>
      <c r="AR9" s="376"/>
      <c r="AS9" s="376"/>
      <c r="AT9" s="377"/>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313"/>
      <c r="C10" s="313"/>
      <c r="D10" s="314"/>
      <c r="E10" s="354"/>
      <c r="F10" s="355"/>
      <c r="G10" s="355"/>
      <c r="H10" s="355"/>
      <c r="I10" s="356"/>
      <c r="J10" s="52" t="str">
        <f>IF(AND('Mapa final'!$AA$35="Muy Alta",'Mapa final'!$AC$35="Leve"),CONCATENATE("R5C",'Mapa final'!$Q$35),"")</f>
        <v/>
      </c>
      <c r="K10" s="53" t="str">
        <f>IF(AND('Mapa final'!$AA$36="Muy Alta",'Mapa final'!$AC$36="Leve"),CONCATENATE("R5C",'Mapa final'!$Q$36),"")</f>
        <v/>
      </c>
      <c r="L10" s="58" t="str">
        <f>IF(AND('Mapa final'!$AA$37="Muy Alta",'Mapa final'!$AC$37="Leve"),CONCATENATE("R5C",'Mapa final'!$Q$37),"")</f>
        <v/>
      </c>
      <c r="M10" s="58" t="str">
        <f>IF(AND('Mapa final'!$AA$38="Muy Alta",'Mapa final'!$AC$38="Leve"),CONCATENATE("R5C",'Mapa final'!$Q$38),"")</f>
        <v/>
      </c>
      <c r="N10" s="58" t="str">
        <f>IF(AND('Mapa final'!$AA$39="Muy Alta",'Mapa final'!$AC$39="Leve"),CONCATENATE("R5C",'Mapa final'!$Q$39),"")</f>
        <v/>
      </c>
      <c r="O10" s="54" t="str">
        <f>IF(AND('Mapa final'!$AA$40="Muy Alta",'Mapa final'!$AC$40="Leve"),CONCATENATE("R5C",'Mapa final'!$Q$40),"")</f>
        <v/>
      </c>
      <c r="P10" s="52" t="str">
        <f>IF(AND('Mapa final'!$AA$35="Muy Alta",'Mapa final'!$AC$35="Menor"),CONCATENATE("R5C",'Mapa final'!$Q$35),"")</f>
        <v/>
      </c>
      <c r="Q10" s="53" t="str">
        <f>IF(AND('Mapa final'!$AA$36="Muy Alta",'Mapa final'!$AC$36="Menor"),CONCATENATE("R5C",'Mapa final'!$Q$36),"")</f>
        <v/>
      </c>
      <c r="R10" s="58" t="str">
        <f>IF(AND('Mapa final'!$AA$37="Muy Alta",'Mapa final'!$AC$37="Menor"),CONCATENATE("R5C",'Mapa final'!$Q$37),"")</f>
        <v/>
      </c>
      <c r="S10" s="58" t="str">
        <f>IF(AND('Mapa final'!$AA$38="Muy Alta",'Mapa final'!$AC$38="Menor"),CONCATENATE("R5C",'Mapa final'!$Q$38),"")</f>
        <v/>
      </c>
      <c r="T10" s="58" t="str">
        <f>IF(AND('Mapa final'!$AA$39="Muy Alta",'Mapa final'!$AC$39="Menor"),CONCATENATE("R5C",'Mapa final'!$Q$39),"")</f>
        <v/>
      </c>
      <c r="U10" s="54" t="str">
        <f>IF(AND('Mapa final'!$AA$40="Muy Alta",'Mapa final'!$AC$40="Menor"),CONCATENATE("R5C",'Mapa final'!$Q$40),"")</f>
        <v/>
      </c>
      <c r="V10" s="52" t="str">
        <f>IF(AND('Mapa final'!$AA$35="Muy Alta",'Mapa final'!$AC$35="Moderado"),CONCATENATE("R5C",'Mapa final'!$Q$35),"")</f>
        <v/>
      </c>
      <c r="W10" s="53" t="str">
        <f>IF(AND('Mapa final'!$AA$36="Muy Alta",'Mapa final'!$AC$36="Moderado"),CONCATENATE("R5C",'Mapa final'!$Q$36),"")</f>
        <v/>
      </c>
      <c r="X10" s="58" t="str">
        <f>IF(AND('Mapa final'!$AA$37="Muy Alta",'Mapa final'!$AC$37="Moderado"),CONCATENATE("R5C",'Mapa final'!$Q$37),"")</f>
        <v/>
      </c>
      <c r="Y10" s="58" t="str">
        <f>IF(AND('Mapa final'!$AA$38="Muy Alta",'Mapa final'!$AC$38="Moderado"),CONCATENATE("R5C",'Mapa final'!$Q$38),"")</f>
        <v/>
      </c>
      <c r="Z10" s="58" t="str">
        <f>IF(AND('Mapa final'!$AA$39="Muy Alta",'Mapa final'!$AC$39="Moderado"),CONCATENATE("R5C",'Mapa final'!$Q$39),"")</f>
        <v/>
      </c>
      <c r="AA10" s="54" t="str">
        <f>IF(AND('Mapa final'!$AA$40="Muy Alta",'Mapa final'!$AC$40="Moderado"),CONCATENATE("R5C",'Mapa final'!$Q$40),"")</f>
        <v/>
      </c>
      <c r="AB10" s="52" t="str">
        <f>IF(AND('Mapa final'!$AA$35="Muy Alta",'Mapa final'!$AC$35="Mayor"),CONCATENATE("R5C",'Mapa final'!$Q$35),"")</f>
        <v/>
      </c>
      <c r="AC10" s="53" t="str">
        <f>IF(AND('Mapa final'!$AA$36="Muy Alta",'Mapa final'!$AC$36="Mayor"),CONCATENATE("R5C",'Mapa final'!$Q$36),"")</f>
        <v/>
      </c>
      <c r="AD10" s="58" t="str">
        <f>IF(AND('Mapa final'!$AA$37="Muy Alta",'Mapa final'!$AC$37="Mayor"),CONCATENATE("R5C",'Mapa final'!$Q$37),"")</f>
        <v/>
      </c>
      <c r="AE10" s="58" t="str">
        <f>IF(AND('Mapa final'!$AA$38="Muy Alta",'Mapa final'!$AC$38="Mayor"),CONCATENATE("R5C",'Mapa final'!$Q$38),"")</f>
        <v/>
      </c>
      <c r="AF10" s="58" t="str">
        <f>IF(AND('Mapa final'!$AA$39="Muy Alta",'Mapa final'!$AC$39="Mayor"),CONCATENATE("R5C",'Mapa final'!$Q$39),"")</f>
        <v/>
      </c>
      <c r="AG10" s="54" t="str">
        <f>IF(AND('Mapa final'!$AA$40="Muy Alta",'Mapa final'!$AC$40="Mayor"),CONCATENATE("R5C",'Mapa final'!$Q$40),"")</f>
        <v/>
      </c>
      <c r="AH10" s="55" t="str">
        <f>IF(AND('Mapa final'!$AA$35="Muy Alta",'Mapa final'!$AC$35="Catastrófico"),CONCATENATE("R5C",'Mapa final'!$Q$35),"")</f>
        <v/>
      </c>
      <c r="AI10" s="56" t="str">
        <f>IF(AND('Mapa final'!$AA$36="Muy Alta",'Mapa final'!$AC$36="Catastrófico"),CONCATENATE("R5C",'Mapa final'!$Q$36),"")</f>
        <v/>
      </c>
      <c r="AJ10" s="56" t="str">
        <f>IF(AND('Mapa final'!$AA$37="Muy Alta",'Mapa final'!$AC$37="Catastrófico"),CONCATENATE("R5C",'Mapa final'!$Q$37),"")</f>
        <v/>
      </c>
      <c r="AK10" s="56" t="str">
        <f>IF(AND('Mapa final'!$AA$38="Muy Alta",'Mapa final'!$AC$38="Catastrófico"),CONCATENATE("R5C",'Mapa final'!$Q$38),"")</f>
        <v/>
      </c>
      <c r="AL10" s="56" t="str">
        <f>IF(AND('Mapa final'!$AA$39="Muy Alta",'Mapa final'!$AC$39="Catastrófico"),CONCATENATE("R5C",'Mapa final'!$Q$39),"")</f>
        <v/>
      </c>
      <c r="AM10" s="57" t="str">
        <f>IF(AND('Mapa final'!$AA$40="Muy Alta",'Mapa final'!$AC$40="Catastrófico"),CONCATENATE("R5C",'Mapa final'!$Q$40),"")</f>
        <v/>
      </c>
      <c r="AN10" s="84"/>
      <c r="AO10" s="375"/>
      <c r="AP10" s="376"/>
      <c r="AQ10" s="376"/>
      <c r="AR10" s="376"/>
      <c r="AS10" s="376"/>
      <c r="AT10" s="377"/>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313"/>
      <c r="C11" s="313"/>
      <c r="D11" s="314"/>
      <c r="E11" s="354"/>
      <c r="F11" s="355"/>
      <c r="G11" s="355"/>
      <c r="H11" s="355"/>
      <c r="I11" s="356"/>
      <c r="J11" s="52" t="str">
        <f>IF(AND('Mapa final'!$AA$41="Muy Alta",'Mapa final'!$AC$41="Leve"),CONCATENATE("R6C",'Mapa final'!$Q$41),"")</f>
        <v/>
      </c>
      <c r="K11" s="53" t="str">
        <f>IF(AND('Mapa final'!$AA$42="Muy Alta",'Mapa final'!$AC$42="Leve"),CONCATENATE("R6C",'Mapa final'!$Q$42),"")</f>
        <v/>
      </c>
      <c r="L11" s="58" t="str">
        <f>IF(AND('Mapa final'!$AA$43="Muy Alta",'Mapa final'!$AC$43="Leve"),CONCATENATE("R6C",'Mapa final'!$Q$43),"")</f>
        <v/>
      </c>
      <c r="M11" s="58" t="str">
        <f>IF(AND('Mapa final'!$AA$44="Muy Alta",'Mapa final'!$AC$44="Leve"),CONCATENATE("R6C",'Mapa final'!$Q$44),"")</f>
        <v/>
      </c>
      <c r="N11" s="58" t="str">
        <f>IF(AND('Mapa final'!$AA$45="Muy Alta",'Mapa final'!$AC$45="Leve"),CONCATENATE("R6C",'Mapa final'!$Q$45),"")</f>
        <v/>
      </c>
      <c r="O11" s="54" t="str">
        <f>IF(AND('Mapa final'!$AA$46="Muy Alta",'Mapa final'!$AC$46="Leve"),CONCATENATE("R6C",'Mapa final'!$Q$46),"")</f>
        <v/>
      </c>
      <c r="P11" s="52" t="str">
        <f>IF(AND('Mapa final'!$AA$41="Muy Alta",'Mapa final'!$AC$41="Menor"),CONCATENATE("R6C",'Mapa final'!$Q$41),"")</f>
        <v/>
      </c>
      <c r="Q11" s="53" t="str">
        <f>IF(AND('Mapa final'!$AA$42="Muy Alta",'Mapa final'!$AC$42="Menor"),CONCATENATE("R6C",'Mapa final'!$Q$42),"")</f>
        <v/>
      </c>
      <c r="R11" s="58" t="str">
        <f>IF(AND('Mapa final'!$AA$43="Muy Alta",'Mapa final'!$AC$43="Menor"),CONCATENATE("R6C",'Mapa final'!$Q$43),"")</f>
        <v/>
      </c>
      <c r="S11" s="58" t="str">
        <f>IF(AND('Mapa final'!$AA$44="Muy Alta",'Mapa final'!$AC$44="Menor"),CONCATENATE("R6C",'Mapa final'!$Q$44),"")</f>
        <v/>
      </c>
      <c r="T11" s="58" t="str">
        <f>IF(AND('Mapa final'!$AA$45="Muy Alta",'Mapa final'!$AC$45="Menor"),CONCATENATE("R6C",'Mapa final'!$Q$45),"")</f>
        <v/>
      </c>
      <c r="U11" s="54" t="str">
        <f>IF(AND('Mapa final'!$AA$46="Muy Alta",'Mapa final'!$AC$46="Menor"),CONCATENATE("R6C",'Mapa final'!$Q$46),"")</f>
        <v/>
      </c>
      <c r="V11" s="52" t="str">
        <f>IF(AND('Mapa final'!$AA$41="Muy Alta",'Mapa final'!$AC$41="Moderado"),CONCATENATE("R6C",'Mapa final'!$Q$41),"")</f>
        <v/>
      </c>
      <c r="W11" s="53" t="str">
        <f>IF(AND('Mapa final'!$AA$42="Muy Alta",'Mapa final'!$AC$42="Moderado"),CONCATENATE("R6C",'Mapa final'!$Q$42),"")</f>
        <v/>
      </c>
      <c r="X11" s="58" t="str">
        <f>IF(AND('Mapa final'!$AA$43="Muy Alta",'Mapa final'!$AC$43="Moderado"),CONCATENATE("R6C",'Mapa final'!$Q$43),"")</f>
        <v/>
      </c>
      <c r="Y11" s="58" t="str">
        <f>IF(AND('Mapa final'!$AA$44="Muy Alta",'Mapa final'!$AC$44="Moderado"),CONCATENATE("R6C",'Mapa final'!$Q$44),"")</f>
        <v/>
      </c>
      <c r="Z11" s="58" t="str">
        <f>IF(AND('Mapa final'!$AA$45="Muy Alta",'Mapa final'!$AC$45="Moderado"),CONCATENATE("R6C",'Mapa final'!$Q$45),"")</f>
        <v/>
      </c>
      <c r="AA11" s="54" t="str">
        <f>IF(AND('Mapa final'!$AA$46="Muy Alta",'Mapa final'!$AC$46="Moderado"),CONCATENATE("R6C",'Mapa final'!$Q$46),"")</f>
        <v/>
      </c>
      <c r="AB11" s="52" t="str">
        <f>IF(AND('Mapa final'!$AA$41="Muy Alta",'Mapa final'!$AC$41="Mayor"),CONCATENATE("R6C",'Mapa final'!$Q$41),"")</f>
        <v/>
      </c>
      <c r="AC11" s="53" t="str">
        <f>IF(AND('Mapa final'!$AA$42="Muy Alta",'Mapa final'!$AC$42="Mayor"),CONCATENATE("R6C",'Mapa final'!$Q$42),"")</f>
        <v/>
      </c>
      <c r="AD11" s="58" t="str">
        <f>IF(AND('Mapa final'!$AA$43="Muy Alta",'Mapa final'!$AC$43="Mayor"),CONCATENATE("R6C",'Mapa final'!$Q$43),"")</f>
        <v/>
      </c>
      <c r="AE11" s="58" t="str">
        <f>IF(AND('Mapa final'!$AA$44="Muy Alta",'Mapa final'!$AC$44="Mayor"),CONCATENATE("R6C",'Mapa final'!$Q$44),"")</f>
        <v/>
      </c>
      <c r="AF11" s="58" t="str">
        <f>IF(AND('Mapa final'!$AA$45="Muy Alta",'Mapa final'!$AC$45="Mayor"),CONCATENATE("R6C",'Mapa final'!$Q$45),"")</f>
        <v/>
      </c>
      <c r="AG11" s="54" t="str">
        <f>IF(AND('Mapa final'!$AA$46="Muy Alta",'Mapa final'!$AC$46="Mayor"),CONCATENATE("R6C",'Mapa final'!$Q$46),"")</f>
        <v/>
      </c>
      <c r="AH11" s="55" t="str">
        <f>IF(AND('Mapa final'!$AA$41="Muy Alta",'Mapa final'!$AC$41="Catastrófico"),CONCATENATE("R6C",'Mapa final'!$Q$41),"")</f>
        <v/>
      </c>
      <c r="AI11" s="56" t="str">
        <f>IF(AND('Mapa final'!$AA$42="Muy Alta",'Mapa final'!$AC$42="Catastrófico"),CONCATENATE("R6C",'Mapa final'!$Q$42),"")</f>
        <v/>
      </c>
      <c r="AJ11" s="56" t="str">
        <f>IF(AND('Mapa final'!$AA$43="Muy Alta",'Mapa final'!$AC$43="Catastrófico"),CONCATENATE("R6C",'Mapa final'!$Q$43),"")</f>
        <v/>
      </c>
      <c r="AK11" s="56" t="str">
        <f>IF(AND('Mapa final'!$AA$44="Muy Alta",'Mapa final'!$AC$44="Catastrófico"),CONCATENATE("R6C",'Mapa final'!$Q$44),"")</f>
        <v/>
      </c>
      <c r="AL11" s="56" t="str">
        <f>IF(AND('Mapa final'!$AA$45="Muy Alta",'Mapa final'!$AC$45="Catastrófico"),CONCATENATE("R6C",'Mapa final'!$Q$45),"")</f>
        <v/>
      </c>
      <c r="AM11" s="57" t="str">
        <f>IF(AND('Mapa final'!$AA$46="Muy Alta",'Mapa final'!$AC$46="Catastrófico"),CONCATENATE("R6C",'Mapa final'!$Q$46),"")</f>
        <v/>
      </c>
      <c r="AN11" s="84"/>
      <c r="AO11" s="375"/>
      <c r="AP11" s="376"/>
      <c r="AQ11" s="376"/>
      <c r="AR11" s="376"/>
      <c r="AS11" s="376"/>
      <c r="AT11" s="377"/>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313"/>
      <c r="C12" s="313"/>
      <c r="D12" s="314"/>
      <c r="E12" s="354"/>
      <c r="F12" s="355"/>
      <c r="G12" s="355"/>
      <c r="H12" s="355"/>
      <c r="I12" s="356"/>
      <c r="J12" s="52" t="str">
        <f>IF(AND('Mapa final'!$AA$47="Muy Alta",'Mapa final'!$AC$47="Leve"),CONCATENATE("R7C",'Mapa final'!$Q$47),"")</f>
        <v/>
      </c>
      <c r="K12" s="53" t="str">
        <f>IF(AND('Mapa final'!$AA$48="Muy Alta",'Mapa final'!$AC$48="Leve"),CONCATENATE("R7C",'Mapa final'!$Q$48),"")</f>
        <v/>
      </c>
      <c r="L12" s="58" t="str">
        <f>IF(AND('Mapa final'!$AA$49="Muy Alta",'Mapa final'!$AC$49="Leve"),CONCATENATE("R7C",'Mapa final'!$Q$49),"")</f>
        <v/>
      </c>
      <c r="M12" s="58" t="str">
        <f>IF(AND('Mapa final'!$AA$50="Muy Alta",'Mapa final'!$AC$50="Leve"),CONCATENATE("R7C",'Mapa final'!$Q$50),"")</f>
        <v/>
      </c>
      <c r="N12" s="58" t="str">
        <f>IF(AND('Mapa final'!$AA$51="Muy Alta",'Mapa final'!$AC$51="Leve"),CONCATENATE("R7C",'Mapa final'!$Q$51),"")</f>
        <v/>
      </c>
      <c r="O12" s="54" t="str">
        <f>IF(AND('Mapa final'!$AA$52="Muy Alta",'Mapa final'!$AC$52="Leve"),CONCATENATE("R7C",'Mapa final'!$Q$52),"")</f>
        <v/>
      </c>
      <c r="P12" s="52" t="str">
        <f>IF(AND('Mapa final'!$AA$47="Muy Alta",'Mapa final'!$AC$47="Menor"),CONCATENATE("R7C",'Mapa final'!$Q$47),"")</f>
        <v/>
      </c>
      <c r="Q12" s="53" t="str">
        <f>IF(AND('Mapa final'!$AA$48="Muy Alta",'Mapa final'!$AC$48="Menor"),CONCATENATE("R7C",'Mapa final'!$Q$48),"")</f>
        <v/>
      </c>
      <c r="R12" s="58" t="str">
        <f>IF(AND('Mapa final'!$AA$49="Muy Alta",'Mapa final'!$AC$49="Menor"),CONCATENATE("R7C",'Mapa final'!$Q$49),"")</f>
        <v/>
      </c>
      <c r="S12" s="58" t="str">
        <f>IF(AND('Mapa final'!$AA$50="Muy Alta",'Mapa final'!$AC$50="Menor"),CONCATENATE("R7C",'Mapa final'!$Q$50),"")</f>
        <v/>
      </c>
      <c r="T12" s="58" t="str">
        <f>IF(AND('Mapa final'!$AA$51="Muy Alta",'Mapa final'!$AC$51="Menor"),CONCATENATE("R7C",'Mapa final'!$Q$51),"")</f>
        <v/>
      </c>
      <c r="U12" s="54" t="str">
        <f>IF(AND('Mapa final'!$AA$52="Muy Alta",'Mapa final'!$AC$52="Menor"),CONCATENATE("R7C",'Mapa final'!$Q$52),"")</f>
        <v/>
      </c>
      <c r="V12" s="52" t="str">
        <f>IF(AND('Mapa final'!$AA$47="Muy Alta",'Mapa final'!$AC$47="Moderado"),CONCATENATE("R7C",'Mapa final'!$Q$47),"")</f>
        <v/>
      </c>
      <c r="W12" s="53" t="str">
        <f>IF(AND('Mapa final'!$AA$48="Muy Alta",'Mapa final'!$AC$48="Moderado"),CONCATENATE("R7C",'Mapa final'!$Q$48),"")</f>
        <v/>
      </c>
      <c r="X12" s="58" t="str">
        <f>IF(AND('Mapa final'!$AA$49="Muy Alta",'Mapa final'!$AC$49="Moderado"),CONCATENATE("R7C",'Mapa final'!$Q$49),"")</f>
        <v/>
      </c>
      <c r="Y12" s="58" t="str">
        <f>IF(AND('Mapa final'!$AA$50="Muy Alta",'Mapa final'!$AC$50="Moderado"),CONCATENATE("R7C",'Mapa final'!$Q$50),"")</f>
        <v/>
      </c>
      <c r="Z12" s="58" t="str">
        <f>IF(AND('Mapa final'!$AA$51="Muy Alta",'Mapa final'!$AC$51="Moderado"),CONCATENATE("R7C",'Mapa final'!$Q$51),"")</f>
        <v/>
      </c>
      <c r="AA12" s="54" t="str">
        <f>IF(AND('Mapa final'!$AA$52="Muy Alta",'Mapa final'!$AC$52="Moderado"),CONCATENATE("R7C",'Mapa final'!$Q$52),"")</f>
        <v/>
      </c>
      <c r="AB12" s="52" t="str">
        <f>IF(AND('Mapa final'!$AA$47="Muy Alta",'Mapa final'!$AC$47="Mayor"),CONCATENATE("R7C",'Mapa final'!$Q$47),"")</f>
        <v/>
      </c>
      <c r="AC12" s="53" t="str">
        <f>IF(AND('Mapa final'!$AA$48="Muy Alta",'Mapa final'!$AC$48="Mayor"),CONCATENATE("R7C",'Mapa final'!$Q$48),"")</f>
        <v/>
      </c>
      <c r="AD12" s="58" t="str">
        <f>IF(AND('Mapa final'!$AA$49="Muy Alta",'Mapa final'!$AC$49="Mayor"),CONCATENATE("R7C",'Mapa final'!$Q$49),"")</f>
        <v/>
      </c>
      <c r="AE12" s="58" t="str">
        <f>IF(AND('Mapa final'!$AA$50="Muy Alta",'Mapa final'!$AC$50="Mayor"),CONCATENATE("R7C",'Mapa final'!$Q$50),"")</f>
        <v/>
      </c>
      <c r="AF12" s="58" t="str">
        <f>IF(AND('Mapa final'!$AA$51="Muy Alta",'Mapa final'!$AC$51="Mayor"),CONCATENATE("R7C",'Mapa final'!$Q$51),"")</f>
        <v/>
      </c>
      <c r="AG12" s="54" t="str">
        <f>IF(AND('Mapa final'!$AA$52="Muy Alta",'Mapa final'!$AC$52="Mayor"),CONCATENATE("R7C",'Mapa final'!$Q$52),"")</f>
        <v/>
      </c>
      <c r="AH12" s="55" t="str">
        <f>IF(AND('Mapa final'!$AA$47="Muy Alta",'Mapa final'!$AC$47="Catastrófico"),CONCATENATE("R7C",'Mapa final'!$Q$47),"")</f>
        <v/>
      </c>
      <c r="AI12" s="56" t="str">
        <f>IF(AND('Mapa final'!$AA$48="Muy Alta",'Mapa final'!$AC$48="Catastrófico"),CONCATENATE("R7C",'Mapa final'!$Q$48),"")</f>
        <v/>
      </c>
      <c r="AJ12" s="56" t="str">
        <f>IF(AND('Mapa final'!$AA$49="Muy Alta",'Mapa final'!$AC$49="Catastrófico"),CONCATENATE("R7C",'Mapa final'!$Q$49),"")</f>
        <v/>
      </c>
      <c r="AK12" s="56" t="str">
        <f>IF(AND('Mapa final'!$AA$50="Muy Alta",'Mapa final'!$AC$50="Catastrófico"),CONCATENATE("R7C",'Mapa final'!$Q$50),"")</f>
        <v/>
      </c>
      <c r="AL12" s="56" t="str">
        <f>IF(AND('Mapa final'!$AA$51="Muy Alta",'Mapa final'!$AC$51="Catastrófico"),CONCATENATE("R7C",'Mapa final'!$Q$51),"")</f>
        <v/>
      </c>
      <c r="AM12" s="57" t="str">
        <f>IF(AND('Mapa final'!$AA$52="Muy Alta",'Mapa final'!$AC$52="Catastrófico"),CONCATENATE("R7C",'Mapa final'!$Q$52),"")</f>
        <v/>
      </c>
      <c r="AN12" s="84"/>
      <c r="AO12" s="375"/>
      <c r="AP12" s="376"/>
      <c r="AQ12" s="376"/>
      <c r="AR12" s="376"/>
      <c r="AS12" s="376"/>
      <c r="AT12" s="377"/>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313"/>
      <c r="C13" s="313"/>
      <c r="D13" s="314"/>
      <c r="E13" s="354"/>
      <c r="F13" s="355"/>
      <c r="G13" s="355"/>
      <c r="H13" s="355"/>
      <c r="I13" s="356"/>
      <c r="J13" s="52" t="str">
        <f>IF(AND('Mapa final'!$AA$53="Muy Alta",'Mapa final'!$AC$53="Leve"),CONCATENATE("R8C",'Mapa final'!$Q$53),"")</f>
        <v/>
      </c>
      <c r="K13" s="53" t="str">
        <f>IF(AND('Mapa final'!$AA$54="Muy Alta",'Mapa final'!$AC$54="Leve"),CONCATENATE("R8C",'Mapa final'!$Q$54),"")</f>
        <v/>
      </c>
      <c r="L13" s="58" t="str">
        <f>IF(AND('Mapa final'!$AA$55="Muy Alta",'Mapa final'!$AC$55="Leve"),CONCATENATE("R8C",'Mapa final'!$Q$55),"")</f>
        <v/>
      </c>
      <c r="M13" s="58" t="str">
        <f>IF(AND('Mapa final'!$AA$56="Muy Alta",'Mapa final'!$AC$56="Leve"),CONCATENATE("R8C",'Mapa final'!$Q$56),"")</f>
        <v/>
      </c>
      <c r="N13" s="58" t="str">
        <f>IF(AND('Mapa final'!$AA$57="Muy Alta",'Mapa final'!$AC$57="Leve"),CONCATENATE("R8C",'Mapa final'!$Q$57),"")</f>
        <v/>
      </c>
      <c r="O13" s="54" t="str">
        <f>IF(AND('Mapa final'!$AA$58="Muy Alta",'Mapa final'!$AC$58="Leve"),CONCATENATE("R8C",'Mapa final'!$Q$58),"")</f>
        <v/>
      </c>
      <c r="P13" s="52" t="str">
        <f>IF(AND('Mapa final'!$AA$53="Muy Alta",'Mapa final'!$AC$53="Menor"),CONCATENATE("R8C",'Mapa final'!$Q$53),"")</f>
        <v/>
      </c>
      <c r="Q13" s="53" t="str">
        <f>IF(AND('Mapa final'!$AA$54="Muy Alta",'Mapa final'!$AC$54="Menor"),CONCATENATE("R8C",'Mapa final'!$Q$54),"")</f>
        <v/>
      </c>
      <c r="R13" s="58" t="str">
        <f>IF(AND('Mapa final'!$AA$55="Muy Alta",'Mapa final'!$AC$55="Menor"),CONCATENATE("R8C",'Mapa final'!$Q$55),"")</f>
        <v/>
      </c>
      <c r="S13" s="58" t="str">
        <f>IF(AND('Mapa final'!$AA$56="Muy Alta",'Mapa final'!$AC$56="Menor"),CONCATENATE("R8C",'Mapa final'!$Q$56),"")</f>
        <v/>
      </c>
      <c r="T13" s="58" t="str">
        <f>IF(AND('Mapa final'!$AA$57="Muy Alta",'Mapa final'!$AC$57="Menor"),CONCATENATE("R8C",'Mapa final'!$Q$57),"")</f>
        <v/>
      </c>
      <c r="U13" s="54" t="str">
        <f>IF(AND('Mapa final'!$AA$58="Muy Alta",'Mapa final'!$AC$58="Menor"),CONCATENATE("R8C",'Mapa final'!$Q$58),"")</f>
        <v/>
      </c>
      <c r="V13" s="52" t="str">
        <f>IF(AND('Mapa final'!$AA$53="Muy Alta",'Mapa final'!$AC$53="Moderado"),CONCATENATE("R8C",'Mapa final'!$Q$53),"")</f>
        <v/>
      </c>
      <c r="W13" s="53" t="str">
        <f>IF(AND('Mapa final'!$AA$54="Muy Alta",'Mapa final'!$AC$54="Moderado"),CONCATENATE("R8C",'Mapa final'!$Q$54),"")</f>
        <v/>
      </c>
      <c r="X13" s="58" t="str">
        <f>IF(AND('Mapa final'!$AA$55="Muy Alta",'Mapa final'!$AC$55="Moderado"),CONCATENATE("R8C",'Mapa final'!$Q$55),"")</f>
        <v/>
      </c>
      <c r="Y13" s="58" t="str">
        <f>IF(AND('Mapa final'!$AA$56="Muy Alta",'Mapa final'!$AC$56="Moderado"),CONCATENATE("R8C",'Mapa final'!$Q$56),"")</f>
        <v/>
      </c>
      <c r="Z13" s="58" t="str">
        <f>IF(AND('Mapa final'!$AA$57="Muy Alta",'Mapa final'!$AC$57="Moderado"),CONCATENATE("R8C",'Mapa final'!$Q$57),"")</f>
        <v/>
      </c>
      <c r="AA13" s="54" t="str">
        <f>IF(AND('Mapa final'!$AA$58="Muy Alta",'Mapa final'!$AC$58="Moderado"),CONCATENATE("R8C",'Mapa final'!$Q$58),"")</f>
        <v/>
      </c>
      <c r="AB13" s="52" t="str">
        <f>IF(AND('Mapa final'!$AA$53="Muy Alta",'Mapa final'!$AC$53="Mayor"),CONCATENATE("R8C",'Mapa final'!$Q$53),"")</f>
        <v/>
      </c>
      <c r="AC13" s="53" t="str">
        <f>IF(AND('Mapa final'!$AA$54="Muy Alta",'Mapa final'!$AC$54="Mayor"),CONCATENATE("R8C",'Mapa final'!$Q$54),"")</f>
        <v/>
      </c>
      <c r="AD13" s="58" t="str">
        <f>IF(AND('Mapa final'!$AA$55="Muy Alta",'Mapa final'!$AC$55="Mayor"),CONCATENATE("R8C",'Mapa final'!$Q$55),"")</f>
        <v/>
      </c>
      <c r="AE13" s="58" t="str">
        <f>IF(AND('Mapa final'!$AA$56="Muy Alta",'Mapa final'!$AC$56="Mayor"),CONCATENATE("R8C",'Mapa final'!$Q$56),"")</f>
        <v/>
      </c>
      <c r="AF13" s="58" t="str">
        <f>IF(AND('Mapa final'!$AA$57="Muy Alta",'Mapa final'!$AC$57="Mayor"),CONCATENATE("R8C",'Mapa final'!$Q$57),"")</f>
        <v/>
      </c>
      <c r="AG13" s="54" t="str">
        <f>IF(AND('Mapa final'!$AA$58="Muy Alta",'Mapa final'!$AC$58="Mayor"),CONCATENATE("R8C",'Mapa final'!$Q$58),"")</f>
        <v/>
      </c>
      <c r="AH13" s="55" t="str">
        <f>IF(AND('Mapa final'!$AA$53="Muy Alta",'Mapa final'!$AC$53="Catastrófico"),CONCATENATE("R8C",'Mapa final'!$Q$53),"")</f>
        <v/>
      </c>
      <c r="AI13" s="56" t="str">
        <f>IF(AND('Mapa final'!$AA$54="Muy Alta",'Mapa final'!$AC$54="Catastrófico"),CONCATENATE("R8C",'Mapa final'!$Q$54),"")</f>
        <v/>
      </c>
      <c r="AJ13" s="56" t="str">
        <f>IF(AND('Mapa final'!$AA$55="Muy Alta",'Mapa final'!$AC$55="Catastrófico"),CONCATENATE("R8C",'Mapa final'!$Q$55),"")</f>
        <v/>
      </c>
      <c r="AK13" s="56" t="str">
        <f>IF(AND('Mapa final'!$AA$56="Muy Alta",'Mapa final'!$AC$56="Catastrófico"),CONCATENATE("R8C",'Mapa final'!$Q$56),"")</f>
        <v/>
      </c>
      <c r="AL13" s="56" t="str">
        <f>IF(AND('Mapa final'!$AA$57="Muy Alta",'Mapa final'!$AC$57="Catastrófico"),CONCATENATE("R8C",'Mapa final'!$Q$57),"")</f>
        <v/>
      </c>
      <c r="AM13" s="57" t="str">
        <f>IF(AND('Mapa final'!$AA$58="Muy Alta",'Mapa final'!$AC$58="Catastrófico"),CONCATENATE("R8C",'Mapa final'!$Q$58),"")</f>
        <v/>
      </c>
      <c r="AN13" s="84"/>
      <c r="AO13" s="375"/>
      <c r="AP13" s="376"/>
      <c r="AQ13" s="376"/>
      <c r="AR13" s="376"/>
      <c r="AS13" s="376"/>
      <c r="AT13" s="377"/>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313"/>
      <c r="C14" s="313"/>
      <c r="D14" s="314"/>
      <c r="E14" s="354"/>
      <c r="F14" s="355"/>
      <c r="G14" s="355"/>
      <c r="H14" s="355"/>
      <c r="I14" s="356"/>
      <c r="J14" s="52" t="str">
        <f>IF(AND('Mapa final'!$AA$59="Muy Alta",'Mapa final'!$AC$59="Leve"),CONCATENATE("R9C",'Mapa final'!$Q$59),"")</f>
        <v/>
      </c>
      <c r="K14" s="53" t="str">
        <f>IF(AND('Mapa final'!$AA$60="Muy Alta",'Mapa final'!$AC$60="Leve"),CONCATENATE("R9C",'Mapa final'!$Q$60),"")</f>
        <v/>
      </c>
      <c r="L14" s="58" t="str">
        <f>IF(AND('Mapa final'!$AA$61="Muy Alta",'Mapa final'!$AC$61="Leve"),CONCATENATE("R9C",'Mapa final'!$Q$61),"")</f>
        <v/>
      </c>
      <c r="M14" s="58" t="str">
        <f>IF(AND('Mapa final'!$AA$62="Muy Alta",'Mapa final'!$AC$62="Leve"),CONCATENATE("R9C",'Mapa final'!$Q$62),"")</f>
        <v/>
      </c>
      <c r="N14" s="58" t="str">
        <f>IF(AND('Mapa final'!$AA$63="Muy Alta",'Mapa final'!$AC$63="Leve"),CONCATENATE("R9C",'Mapa final'!$Q$63),"")</f>
        <v/>
      </c>
      <c r="O14" s="54" t="str">
        <f>IF(AND('Mapa final'!$AA$64="Muy Alta",'Mapa final'!$AC$64="Leve"),CONCATENATE("R9C",'Mapa final'!$Q$64),"")</f>
        <v/>
      </c>
      <c r="P14" s="52" t="str">
        <f>IF(AND('Mapa final'!$AA$59="Muy Alta",'Mapa final'!$AC$59="Menor"),CONCATENATE("R9C",'Mapa final'!$Q$59),"")</f>
        <v/>
      </c>
      <c r="Q14" s="53" t="str">
        <f>IF(AND('Mapa final'!$AA$60="Muy Alta",'Mapa final'!$AC$60="Menor"),CONCATENATE("R9C",'Mapa final'!$Q$60),"")</f>
        <v/>
      </c>
      <c r="R14" s="58" t="str">
        <f>IF(AND('Mapa final'!$AA$61="Muy Alta",'Mapa final'!$AC$61="Menor"),CONCATENATE("R9C",'Mapa final'!$Q$61),"")</f>
        <v/>
      </c>
      <c r="S14" s="58" t="str">
        <f>IF(AND('Mapa final'!$AA$62="Muy Alta",'Mapa final'!$AC$62="Menor"),CONCATENATE("R9C",'Mapa final'!$Q$62),"")</f>
        <v/>
      </c>
      <c r="T14" s="58" t="str">
        <f>IF(AND('Mapa final'!$AA$63="Muy Alta",'Mapa final'!$AC$63="Menor"),CONCATENATE("R9C",'Mapa final'!$Q$63),"")</f>
        <v/>
      </c>
      <c r="U14" s="54" t="str">
        <f>IF(AND('Mapa final'!$AA$64="Muy Alta",'Mapa final'!$AC$64="Menor"),CONCATENATE("R9C",'Mapa final'!$Q$64),"")</f>
        <v/>
      </c>
      <c r="V14" s="52" t="str">
        <f>IF(AND('Mapa final'!$AA$59="Muy Alta",'Mapa final'!$AC$59="Moderado"),CONCATENATE("R9C",'Mapa final'!$Q$59),"")</f>
        <v/>
      </c>
      <c r="W14" s="53" t="str">
        <f>IF(AND('Mapa final'!$AA$60="Muy Alta",'Mapa final'!$AC$60="Moderado"),CONCATENATE("R9C",'Mapa final'!$Q$60),"")</f>
        <v/>
      </c>
      <c r="X14" s="58" t="str">
        <f>IF(AND('Mapa final'!$AA$61="Muy Alta",'Mapa final'!$AC$61="Moderado"),CONCATENATE("R9C",'Mapa final'!$Q$61),"")</f>
        <v/>
      </c>
      <c r="Y14" s="58" t="str">
        <f>IF(AND('Mapa final'!$AA$62="Muy Alta",'Mapa final'!$AC$62="Moderado"),CONCATENATE("R9C",'Mapa final'!$Q$62),"")</f>
        <v/>
      </c>
      <c r="Z14" s="58" t="str">
        <f>IF(AND('Mapa final'!$AA$63="Muy Alta",'Mapa final'!$AC$63="Moderado"),CONCATENATE("R9C",'Mapa final'!$Q$63),"")</f>
        <v/>
      </c>
      <c r="AA14" s="54" t="str">
        <f>IF(AND('Mapa final'!$AA$64="Muy Alta",'Mapa final'!$AC$64="Moderado"),CONCATENATE("R9C",'Mapa final'!$Q$64),"")</f>
        <v/>
      </c>
      <c r="AB14" s="52" t="str">
        <f>IF(AND('Mapa final'!$AA$59="Muy Alta",'Mapa final'!$AC$59="Mayor"),CONCATENATE("R9C",'Mapa final'!$Q$59),"")</f>
        <v/>
      </c>
      <c r="AC14" s="53" t="str">
        <f>IF(AND('Mapa final'!$AA$60="Muy Alta",'Mapa final'!$AC$60="Mayor"),CONCATENATE("R9C",'Mapa final'!$Q$60),"")</f>
        <v/>
      </c>
      <c r="AD14" s="58" t="str">
        <f>IF(AND('Mapa final'!$AA$61="Muy Alta",'Mapa final'!$AC$61="Mayor"),CONCATENATE("R9C",'Mapa final'!$Q$61),"")</f>
        <v/>
      </c>
      <c r="AE14" s="58" t="str">
        <f>IF(AND('Mapa final'!$AA$62="Muy Alta",'Mapa final'!$AC$62="Mayor"),CONCATENATE("R9C",'Mapa final'!$Q$62),"")</f>
        <v/>
      </c>
      <c r="AF14" s="58" t="str">
        <f>IF(AND('Mapa final'!$AA$63="Muy Alta",'Mapa final'!$AC$63="Mayor"),CONCATENATE("R9C",'Mapa final'!$Q$63),"")</f>
        <v/>
      </c>
      <c r="AG14" s="54" t="str">
        <f>IF(AND('Mapa final'!$AA$64="Muy Alta",'Mapa final'!$AC$64="Mayor"),CONCATENATE("R9C",'Mapa final'!$Q$64),"")</f>
        <v/>
      </c>
      <c r="AH14" s="55" t="str">
        <f>IF(AND('Mapa final'!$AA$59="Muy Alta",'Mapa final'!$AC$59="Catastrófico"),CONCATENATE("R9C",'Mapa final'!$Q$59),"")</f>
        <v/>
      </c>
      <c r="AI14" s="56" t="str">
        <f>IF(AND('Mapa final'!$AA$60="Muy Alta",'Mapa final'!$AC$60="Catastrófico"),CONCATENATE("R9C",'Mapa final'!$Q$60),"")</f>
        <v/>
      </c>
      <c r="AJ14" s="56" t="str">
        <f>IF(AND('Mapa final'!$AA$61="Muy Alta",'Mapa final'!$AC$61="Catastrófico"),CONCATENATE("R9C",'Mapa final'!$Q$61),"")</f>
        <v/>
      </c>
      <c r="AK14" s="56" t="str">
        <f>IF(AND('Mapa final'!$AA$62="Muy Alta",'Mapa final'!$AC$62="Catastrófico"),CONCATENATE("R9C",'Mapa final'!$Q$62),"")</f>
        <v/>
      </c>
      <c r="AL14" s="56" t="str">
        <f>IF(AND('Mapa final'!$AA$63="Muy Alta",'Mapa final'!$AC$63="Catastrófico"),CONCATENATE("R9C",'Mapa final'!$Q$63),"")</f>
        <v/>
      </c>
      <c r="AM14" s="57" t="str">
        <f>IF(AND('Mapa final'!$AA$64="Muy Alta",'Mapa final'!$AC$64="Catastrófico"),CONCATENATE("R9C",'Mapa final'!$Q$64),"")</f>
        <v/>
      </c>
      <c r="AN14" s="84"/>
      <c r="AO14" s="375"/>
      <c r="AP14" s="376"/>
      <c r="AQ14" s="376"/>
      <c r="AR14" s="376"/>
      <c r="AS14" s="376"/>
      <c r="AT14" s="377"/>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313"/>
      <c r="C15" s="313"/>
      <c r="D15" s="314"/>
      <c r="E15" s="357"/>
      <c r="F15" s="358"/>
      <c r="G15" s="358"/>
      <c r="H15" s="358"/>
      <c r="I15" s="359"/>
      <c r="J15" s="59" t="str">
        <f>IF(AND('Mapa final'!$AA$65="Muy Alta",'Mapa final'!$AC$65="Leve"),CONCATENATE("R10C",'Mapa final'!$Q$65),"")</f>
        <v/>
      </c>
      <c r="K15" s="60" t="str">
        <f>IF(AND('Mapa final'!$AA$66="Muy Alta",'Mapa final'!$AC$66="Leve"),CONCATENATE("R10C",'Mapa final'!$Q$66),"")</f>
        <v/>
      </c>
      <c r="L15" s="60" t="str">
        <f>IF(AND('Mapa final'!$AA$67="Muy Alta",'Mapa final'!$AC$67="Leve"),CONCATENATE("R10C",'Mapa final'!$Q$67),"")</f>
        <v/>
      </c>
      <c r="M15" s="60" t="str">
        <f>IF(AND('Mapa final'!$AA$68="Muy Alta",'Mapa final'!$AC$68="Leve"),CONCATENATE("R10C",'Mapa final'!$Q$68),"")</f>
        <v/>
      </c>
      <c r="N15" s="60" t="str">
        <f>IF(AND('Mapa final'!$AA$69="Muy Alta",'Mapa final'!$AC$69="Leve"),CONCATENATE("R10C",'Mapa final'!$Q$69),"")</f>
        <v/>
      </c>
      <c r="O15" s="61" t="str">
        <f>IF(AND('Mapa final'!$AA$70="Muy Alta",'Mapa final'!$AC$70="Leve"),CONCATENATE("R10C",'Mapa final'!$Q$70),"")</f>
        <v/>
      </c>
      <c r="P15" s="52" t="str">
        <f>IF(AND('Mapa final'!$AA$65="Muy Alta",'Mapa final'!$AC$65="Menor"),CONCATENATE("R10C",'Mapa final'!$Q$65),"")</f>
        <v/>
      </c>
      <c r="Q15" s="53" t="str">
        <f>IF(AND('Mapa final'!$AA$66="Muy Alta",'Mapa final'!$AC$66="Menor"),CONCATENATE("R10C",'Mapa final'!$Q$66),"")</f>
        <v/>
      </c>
      <c r="R15" s="53" t="str">
        <f>IF(AND('Mapa final'!$AA$67="Muy Alta",'Mapa final'!$AC$67="Menor"),CONCATENATE("R10C",'Mapa final'!$Q$67),"")</f>
        <v/>
      </c>
      <c r="S15" s="53" t="str">
        <f>IF(AND('Mapa final'!$AA$68="Muy Alta",'Mapa final'!$AC$68="Menor"),CONCATENATE("R10C",'Mapa final'!$Q$68),"")</f>
        <v/>
      </c>
      <c r="T15" s="53" t="str">
        <f>IF(AND('Mapa final'!$AA$69="Muy Alta",'Mapa final'!$AC$69="Menor"),CONCATENATE("R10C",'Mapa final'!$Q$69),"")</f>
        <v/>
      </c>
      <c r="U15" s="54" t="str">
        <f>IF(AND('Mapa final'!$AA$70="Muy Alta",'Mapa final'!$AC$70="Menor"),CONCATENATE("R10C",'Mapa final'!$Q$70),"")</f>
        <v/>
      </c>
      <c r="V15" s="59" t="str">
        <f>IF(AND('Mapa final'!$AA$65="Muy Alta",'Mapa final'!$AC$65="Moderado"),CONCATENATE("R10C",'Mapa final'!$Q$65),"")</f>
        <v/>
      </c>
      <c r="W15" s="60" t="str">
        <f>IF(AND('Mapa final'!$AA$66="Muy Alta",'Mapa final'!$AC$66="Moderado"),CONCATENATE("R10C",'Mapa final'!$Q$66),"")</f>
        <v/>
      </c>
      <c r="X15" s="60" t="str">
        <f>IF(AND('Mapa final'!$AA$67="Muy Alta",'Mapa final'!$AC$67="Moderado"),CONCATENATE("R10C",'Mapa final'!$Q$67),"")</f>
        <v/>
      </c>
      <c r="Y15" s="60" t="str">
        <f>IF(AND('Mapa final'!$AA$68="Muy Alta",'Mapa final'!$AC$68="Moderado"),CONCATENATE("R10C",'Mapa final'!$Q$68),"")</f>
        <v/>
      </c>
      <c r="Z15" s="60" t="str">
        <f>IF(AND('Mapa final'!$AA$69="Muy Alta",'Mapa final'!$AC$69="Moderado"),CONCATENATE("R10C",'Mapa final'!$Q$69),"")</f>
        <v/>
      </c>
      <c r="AA15" s="61" t="str">
        <f>IF(AND('Mapa final'!$AA$70="Muy Alta",'Mapa final'!$AC$70="Moderado"),CONCATENATE("R10C",'Mapa final'!$Q$70),"")</f>
        <v/>
      </c>
      <c r="AB15" s="52" t="str">
        <f>IF(AND('Mapa final'!$AA$65="Muy Alta",'Mapa final'!$AC$65="Mayor"),CONCATENATE("R10C",'Mapa final'!$Q$65),"")</f>
        <v/>
      </c>
      <c r="AC15" s="53" t="str">
        <f>IF(AND('Mapa final'!$AA$66="Muy Alta",'Mapa final'!$AC$66="Mayor"),CONCATENATE("R10C",'Mapa final'!$Q$66),"")</f>
        <v/>
      </c>
      <c r="AD15" s="53" t="str">
        <f>IF(AND('Mapa final'!$AA$67="Muy Alta",'Mapa final'!$AC$67="Mayor"),CONCATENATE("R10C",'Mapa final'!$Q$67),"")</f>
        <v/>
      </c>
      <c r="AE15" s="53" t="str">
        <f>IF(AND('Mapa final'!$AA$68="Muy Alta",'Mapa final'!$AC$68="Mayor"),CONCATENATE("R10C",'Mapa final'!$Q$68),"")</f>
        <v/>
      </c>
      <c r="AF15" s="53" t="str">
        <f>IF(AND('Mapa final'!$AA$69="Muy Alta",'Mapa final'!$AC$69="Mayor"),CONCATENATE("R10C",'Mapa final'!$Q$69),"")</f>
        <v/>
      </c>
      <c r="AG15" s="54" t="str">
        <f>IF(AND('Mapa final'!$AA$70="Muy Alta",'Mapa final'!$AC$70="Mayor"),CONCATENATE("R10C",'Mapa final'!$Q$70),"")</f>
        <v/>
      </c>
      <c r="AH15" s="62" t="str">
        <f>IF(AND('Mapa final'!$AA$65="Muy Alta",'Mapa final'!$AC$65="Catastrófico"),CONCATENATE("R10C",'Mapa final'!$Q$65),"")</f>
        <v/>
      </c>
      <c r="AI15" s="63" t="str">
        <f>IF(AND('Mapa final'!$AA$66="Muy Alta",'Mapa final'!$AC$66="Catastrófico"),CONCATENATE("R10C",'Mapa final'!$Q$66),"")</f>
        <v/>
      </c>
      <c r="AJ15" s="63" t="str">
        <f>IF(AND('Mapa final'!$AA$67="Muy Alta",'Mapa final'!$AC$67="Catastrófico"),CONCATENATE("R10C",'Mapa final'!$Q$67),"")</f>
        <v/>
      </c>
      <c r="AK15" s="63" t="str">
        <f>IF(AND('Mapa final'!$AA$68="Muy Alta",'Mapa final'!$AC$68="Catastrófico"),CONCATENATE("R10C",'Mapa final'!$Q$68),"")</f>
        <v/>
      </c>
      <c r="AL15" s="63" t="str">
        <f>IF(AND('Mapa final'!$AA$69="Muy Alta",'Mapa final'!$AC$69="Catastrófico"),CONCATENATE("R10C",'Mapa final'!$Q$69),"")</f>
        <v/>
      </c>
      <c r="AM15" s="64" t="str">
        <f>IF(AND('Mapa final'!$AA$70="Muy Alta",'Mapa final'!$AC$70="Catastrófico"),CONCATENATE("R10C",'Mapa final'!$Q$70),"")</f>
        <v/>
      </c>
      <c r="AN15" s="84"/>
      <c r="AO15" s="378"/>
      <c r="AP15" s="379"/>
      <c r="AQ15" s="379"/>
      <c r="AR15" s="379"/>
      <c r="AS15" s="379"/>
      <c r="AT15" s="380"/>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313"/>
      <c r="C16" s="313"/>
      <c r="D16" s="314"/>
      <c r="E16" s="351" t="s">
        <v>107</v>
      </c>
      <c r="F16" s="352"/>
      <c r="G16" s="352"/>
      <c r="H16" s="352"/>
      <c r="I16" s="352"/>
      <c r="J16" s="65" t="str">
        <f>IF(AND('Mapa final'!$AA$11="Alta",'Mapa final'!$AC$11="Leve"),CONCATENATE("R1C",'Mapa final'!$Q$11),"")</f>
        <v/>
      </c>
      <c r="K16" s="66" t="str">
        <f>IF(AND('Mapa final'!$AA$12="Alta",'Mapa final'!$AC$12="Leve"),CONCATENATE("R1C",'Mapa final'!$Q$12),"")</f>
        <v/>
      </c>
      <c r="L16" s="66" t="str">
        <f>IF(AND('Mapa final'!$AA$13="Alta",'Mapa final'!$AC$13="Leve"),CONCATENATE("R1C",'Mapa final'!$Q$13),"")</f>
        <v/>
      </c>
      <c r="M16" s="66" t="str">
        <f>IF(AND('Mapa final'!$AA$14="Alta",'Mapa final'!$AC$14="Leve"),CONCATENATE("R1C",'Mapa final'!$Q$14),"")</f>
        <v/>
      </c>
      <c r="N16" s="66" t="str">
        <f>IF(AND('Mapa final'!$AA$15="Alta",'Mapa final'!$AC$15="Leve"),CONCATENATE("R1C",'Mapa final'!$Q$15),"")</f>
        <v/>
      </c>
      <c r="O16" s="67" t="str">
        <f>IF(AND('Mapa final'!$AA$16="Alta",'Mapa final'!$AC$16="Leve"),CONCATENATE("R1C",'Mapa final'!$Q$16),"")</f>
        <v/>
      </c>
      <c r="P16" s="65" t="str">
        <f>IF(AND('Mapa final'!$AA$11="Alta",'Mapa final'!$AC$11="Menor"),CONCATENATE("R1C",'Mapa final'!$Q$11),"")</f>
        <v/>
      </c>
      <c r="Q16" s="66" t="str">
        <f>IF(AND('Mapa final'!$AA$12="Alta",'Mapa final'!$AC$12="Menor"),CONCATENATE("R1C",'Mapa final'!$Q$12),"")</f>
        <v/>
      </c>
      <c r="R16" s="66" t="str">
        <f>IF(AND('Mapa final'!$AA$13="Alta",'Mapa final'!$AC$13="Menor"),CONCATENATE("R1C",'Mapa final'!$Q$13),"")</f>
        <v/>
      </c>
      <c r="S16" s="66" t="str">
        <f>IF(AND('Mapa final'!$AA$14="Alta",'Mapa final'!$AC$14="Menor"),CONCATENATE("R1C",'Mapa final'!$Q$14),"")</f>
        <v/>
      </c>
      <c r="T16" s="66" t="str">
        <f>IF(AND('Mapa final'!$AA$15="Alta",'Mapa final'!$AC$15="Menor"),CONCATENATE("R1C",'Mapa final'!$Q$15),"")</f>
        <v/>
      </c>
      <c r="U16" s="67" t="str">
        <f>IF(AND('Mapa final'!$AA$16="Alta",'Mapa final'!$AC$16="Menor"),CONCATENATE("R1C",'Mapa final'!$Q$16),"")</f>
        <v/>
      </c>
      <c r="V16" s="46" t="str">
        <f>IF(AND('Mapa final'!$AA$11="Alta",'Mapa final'!$AC$11="Moderado"),CONCATENATE("R1C",'Mapa final'!$Q$11),"")</f>
        <v/>
      </c>
      <c r="W16" s="47" t="str">
        <f>IF(AND('Mapa final'!$AA$12="Alta",'Mapa final'!$AC$12="Moderado"),CONCATENATE("R1C",'Mapa final'!$Q$12),"")</f>
        <v/>
      </c>
      <c r="X16" s="47" t="str">
        <f>IF(AND('Mapa final'!$AA$13="Alta",'Mapa final'!$AC$13="Moderado"),CONCATENATE("R1C",'Mapa final'!$Q$13),"")</f>
        <v/>
      </c>
      <c r="Y16" s="47" t="str">
        <f>IF(AND('Mapa final'!$AA$14="Alta",'Mapa final'!$AC$14="Moderado"),CONCATENATE("R1C",'Mapa final'!$Q$14),"")</f>
        <v/>
      </c>
      <c r="Z16" s="47" t="str">
        <f>IF(AND('Mapa final'!$AA$15="Alta",'Mapa final'!$AC$15="Moderado"),CONCATENATE("R1C",'Mapa final'!$Q$15),"")</f>
        <v/>
      </c>
      <c r="AA16" s="48" t="str">
        <f>IF(AND('Mapa final'!$AA$16="Alta",'Mapa final'!$AC$16="Moderado"),CONCATENATE("R1C",'Mapa final'!$Q$16),"")</f>
        <v/>
      </c>
      <c r="AB16" s="46" t="str">
        <f>IF(AND('Mapa final'!$AA$11="Alta",'Mapa final'!$AC$11="Mayor"),CONCATENATE("R1C",'Mapa final'!$Q$11),"")</f>
        <v/>
      </c>
      <c r="AC16" s="47" t="str">
        <f>IF(AND('Mapa final'!$AA$12="Alta",'Mapa final'!$AC$12="Mayor"),CONCATENATE("R1C",'Mapa final'!$Q$12),"")</f>
        <v/>
      </c>
      <c r="AD16" s="47" t="str">
        <f>IF(AND('Mapa final'!$AA$13="Alta",'Mapa final'!$AC$13="Mayor"),CONCATENATE("R1C",'Mapa final'!$Q$13),"")</f>
        <v/>
      </c>
      <c r="AE16" s="47" t="str">
        <f>IF(AND('Mapa final'!$AA$14="Alta",'Mapa final'!$AC$14="Mayor"),CONCATENATE("R1C",'Mapa final'!$Q$14),"")</f>
        <v/>
      </c>
      <c r="AF16" s="47" t="str">
        <f>IF(AND('Mapa final'!$AA$15="Alta",'Mapa final'!$AC$15="Mayor"),CONCATENATE("R1C",'Mapa final'!$Q$15),"")</f>
        <v/>
      </c>
      <c r="AG16" s="48" t="str">
        <f>IF(AND('Mapa final'!$AA$16="Alta",'Mapa final'!$AC$16="Mayor"),CONCATENATE("R1C",'Mapa final'!$Q$16),"")</f>
        <v/>
      </c>
      <c r="AH16" s="49" t="str">
        <f>IF(AND('Mapa final'!$AA$11="Alta",'Mapa final'!$AC$11="Catastrófico"),CONCATENATE("R1C",'Mapa final'!$Q$11),"")</f>
        <v/>
      </c>
      <c r="AI16" s="50" t="str">
        <f>IF(AND('Mapa final'!$AA$12="Alta",'Mapa final'!$AC$12="Catastrófico"),CONCATENATE("R1C",'Mapa final'!$Q$12),"")</f>
        <v/>
      </c>
      <c r="AJ16" s="50" t="str">
        <f>IF(AND('Mapa final'!$AA$13="Alta",'Mapa final'!$AC$13="Catastrófico"),CONCATENATE("R1C",'Mapa final'!$Q$13),"")</f>
        <v/>
      </c>
      <c r="AK16" s="50" t="str">
        <f>IF(AND('Mapa final'!$AA$14="Alta",'Mapa final'!$AC$14="Catastrófico"),CONCATENATE("R1C",'Mapa final'!$Q$14),"")</f>
        <v/>
      </c>
      <c r="AL16" s="50" t="str">
        <f>IF(AND('Mapa final'!$AA$15="Alta",'Mapa final'!$AC$15="Catastrófico"),CONCATENATE("R1C",'Mapa final'!$Q$15),"")</f>
        <v/>
      </c>
      <c r="AM16" s="51" t="str">
        <f>IF(AND('Mapa final'!$AA$16="Alta",'Mapa final'!$AC$16="Catastrófico"),CONCATENATE("R1C",'Mapa final'!$Q$16),"")</f>
        <v/>
      </c>
      <c r="AN16" s="84"/>
      <c r="AO16" s="361" t="s">
        <v>77</v>
      </c>
      <c r="AP16" s="362"/>
      <c r="AQ16" s="362"/>
      <c r="AR16" s="362"/>
      <c r="AS16" s="362"/>
      <c r="AT16" s="363"/>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313"/>
      <c r="C17" s="313"/>
      <c r="D17" s="314"/>
      <c r="E17" s="370"/>
      <c r="F17" s="371"/>
      <c r="G17" s="371"/>
      <c r="H17" s="371"/>
      <c r="I17" s="371"/>
      <c r="J17" s="68" t="str">
        <f>IF(AND('Mapa final'!$AA$17="Alta",'Mapa final'!$AC$17="Leve"),CONCATENATE("R2C",'Mapa final'!$Q$17),"")</f>
        <v/>
      </c>
      <c r="K17" s="69" t="str">
        <f>IF(AND('Mapa final'!$AA$18="Alta",'Mapa final'!$AC$18="Leve"),CONCATENATE("R2C",'Mapa final'!$Q$18),"")</f>
        <v/>
      </c>
      <c r="L17" s="69" t="str">
        <f>IF(AND('Mapa final'!$AA$19="Alta",'Mapa final'!$AC$19="Leve"),CONCATENATE("R2C",'Mapa final'!$Q$19),"")</f>
        <v/>
      </c>
      <c r="M17" s="69" t="str">
        <f>IF(AND('Mapa final'!$AA$20="Alta",'Mapa final'!$AC$20="Leve"),CONCATENATE("R2C",'Mapa final'!$Q$20),"")</f>
        <v/>
      </c>
      <c r="N17" s="69" t="str">
        <f>IF(AND('Mapa final'!$AA$21="Alta",'Mapa final'!$AC$21="Leve"),CONCATENATE("R2C",'Mapa final'!$Q$21),"")</f>
        <v/>
      </c>
      <c r="O17" s="70" t="str">
        <f>IF(AND('Mapa final'!$AA$22="Alta",'Mapa final'!$AC$22="Leve"),CONCATENATE("R2C",'Mapa final'!$Q$22),"")</f>
        <v/>
      </c>
      <c r="P17" s="68" t="str">
        <f>IF(AND('Mapa final'!$AA$17="Alta",'Mapa final'!$AC$17="Menor"),CONCATENATE("R2C",'Mapa final'!$Q$17),"")</f>
        <v/>
      </c>
      <c r="Q17" s="69" t="str">
        <f>IF(AND('Mapa final'!$AA$18="Alta",'Mapa final'!$AC$18="Menor"),CONCATENATE("R2C",'Mapa final'!$Q$18),"")</f>
        <v/>
      </c>
      <c r="R17" s="69" t="str">
        <f>IF(AND('Mapa final'!$AA$19="Alta",'Mapa final'!$AC$19="Menor"),CONCATENATE("R2C",'Mapa final'!$Q$19),"")</f>
        <v/>
      </c>
      <c r="S17" s="69" t="str">
        <f>IF(AND('Mapa final'!$AA$20="Alta",'Mapa final'!$AC$20="Menor"),CONCATENATE("R2C",'Mapa final'!$Q$20),"")</f>
        <v/>
      </c>
      <c r="T17" s="69" t="str">
        <f>IF(AND('Mapa final'!$AA$21="Alta",'Mapa final'!$AC$21="Menor"),CONCATENATE("R2C",'Mapa final'!$Q$21),"")</f>
        <v/>
      </c>
      <c r="U17" s="70" t="str">
        <f>IF(AND('Mapa final'!$AA$22="Alta",'Mapa final'!$AC$22="Menor"),CONCATENATE("R2C",'Mapa final'!$Q$22),"")</f>
        <v/>
      </c>
      <c r="V17" s="52" t="str">
        <f>IF(AND('Mapa final'!$AA$17="Alta",'Mapa final'!$AC$17="Moderado"),CONCATENATE("R2C",'Mapa final'!$Q$17),"")</f>
        <v/>
      </c>
      <c r="W17" s="53" t="str">
        <f>IF(AND('Mapa final'!$AA$18="Alta",'Mapa final'!$AC$18="Moderado"),CONCATENATE("R2C",'Mapa final'!$Q$18),"")</f>
        <v/>
      </c>
      <c r="X17" s="53" t="str">
        <f>IF(AND('Mapa final'!$AA$19="Alta",'Mapa final'!$AC$19="Moderado"),CONCATENATE("R2C",'Mapa final'!$Q$19),"")</f>
        <v/>
      </c>
      <c r="Y17" s="53" t="str">
        <f>IF(AND('Mapa final'!$AA$20="Alta",'Mapa final'!$AC$20="Moderado"),CONCATENATE("R2C",'Mapa final'!$Q$20),"")</f>
        <v/>
      </c>
      <c r="Z17" s="53" t="str">
        <f>IF(AND('Mapa final'!$AA$21="Alta",'Mapa final'!$AC$21="Moderado"),CONCATENATE("R2C",'Mapa final'!$Q$21),"")</f>
        <v/>
      </c>
      <c r="AA17" s="54" t="str">
        <f>IF(AND('Mapa final'!$AA$22="Alta",'Mapa final'!$AC$22="Moderado"),CONCATENATE("R2C",'Mapa final'!$Q$22),"")</f>
        <v/>
      </c>
      <c r="AB17" s="52" t="str">
        <f>IF(AND('Mapa final'!$AA$17="Alta",'Mapa final'!$AC$17="Mayor"),CONCATENATE("R2C",'Mapa final'!$Q$17),"")</f>
        <v/>
      </c>
      <c r="AC17" s="53" t="str">
        <f>IF(AND('Mapa final'!$AA$18="Alta",'Mapa final'!$AC$18="Mayor"),CONCATENATE("R2C",'Mapa final'!$Q$18),"")</f>
        <v/>
      </c>
      <c r="AD17" s="53" t="str">
        <f>IF(AND('Mapa final'!$AA$19="Alta",'Mapa final'!$AC$19="Mayor"),CONCATENATE("R2C",'Mapa final'!$Q$19),"")</f>
        <v/>
      </c>
      <c r="AE17" s="53" t="str">
        <f>IF(AND('Mapa final'!$AA$20="Alta",'Mapa final'!$AC$20="Mayor"),CONCATENATE("R2C",'Mapa final'!$Q$20),"")</f>
        <v/>
      </c>
      <c r="AF17" s="53" t="str">
        <f>IF(AND('Mapa final'!$AA$21="Alta",'Mapa final'!$AC$21="Mayor"),CONCATENATE("R2C",'Mapa final'!$Q$21),"")</f>
        <v/>
      </c>
      <c r="AG17" s="54" t="str">
        <f>IF(AND('Mapa final'!$AA$22="Alta",'Mapa final'!$AC$22="Mayor"),CONCATENATE("R2C",'Mapa final'!$Q$22),"")</f>
        <v/>
      </c>
      <c r="AH17" s="55" t="str">
        <f>IF(AND('Mapa final'!$AA$17="Alta",'Mapa final'!$AC$17="Catastrófico"),CONCATENATE("R2C",'Mapa final'!$Q$17),"")</f>
        <v/>
      </c>
      <c r="AI17" s="56" t="str">
        <f>IF(AND('Mapa final'!$AA$18="Alta",'Mapa final'!$AC$18="Catastrófico"),CONCATENATE("R2C",'Mapa final'!$Q$18),"")</f>
        <v/>
      </c>
      <c r="AJ17" s="56" t="str">
        <f>IF(AND('Mapa final'!$AA$19="Alta",'Mapa final'!$AC$19="Catastrófico"),CONCATENATE("R2C",'Mapa final'!$Q$19),"")</f>
        <v/>
      </c>
      <c r="AK17" s="56" t="str">
        <f>IF(AND('Mapa final'!$AA$20="Alta",'Mapa final'!$AC$20="Catastrófico"),CONCATENATE("R2C",'Mapa final'!$Q$20),"")</f>
        <v/>
      </c>
      <c r="AL17" s="56" t="str">
        <f>IF(AND('Mapa final'!$AA$21="Alta",'Mapa final'!$AC$21="Catastrófico"),CONCATENATE("R2C",'Mapa final'!$Q$21),"")</f>
        <v/>
      </c>
      <c r="AM17" s="57" t="str">
        <f>IF(AND('Mapa final'!$AA$22="Alta",'Mapa final'!$AC$22="Catastrófico"),CONCATENATE("R2C",'Mapa final'!$Q$22),"")</f>
        <v/>
      </c>
      <c r="AN17" s="84"/>
      <c r="AO17" s="364"/>
      <c r="AP17" s="365"/>
      <c r="AQ17" s="365"/>
      <c r="AR17" s="365"/>
      <c r="AS17" s="365"/>
      <c r="AT17" s="366"/>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313"/>
      <c r="C18" s="313"/>
      <c r="D18" s="314"/>
      <c r="E18" s="354"/>
      <c r="F18" s="355"/>
      <c r="G18" s="355"/>
      <c r="H18" s="355"/>
      <c r="I18" s="371"/>
      <c r="J18" s="68" t="str">
        <f>IF(AND('Mapa final'!$AA$23="Alta",'Mapa final'!$AC$23="Leve"),CONCATENATE("R3C",'Mapa final'!$Q$23),"")</f>
        <v/>
      </c>
      <c r="K18" s="69" t="str">
        <f>IF(AND('Mapa final'!$AA$24="Alta",'Mapa final'!$AC$24="Leve"),CONCATENATE("R3C",'Mapa final'!$Q$24),"")</f>
        <v/>
      </c>
      <c r="L18" s="69" t="str">
        <f>IF(AND('Mapa final'!$AA$25="Alta",'Mapa final'!$AC$25="Leve"),CONCATENATE("R3C",'Mapa final'!$Q$25),"")</f>
        <v/>
      </c>
      <c r="M18" s="69" t="str">
        <f>IF(AND('Mapa final'!$AA$26="Alta",'Mapa final'!$AC$26="Leve"),CONCATENATE("R3C",'Mapa final'!$Q$26),"")</f>
        <v/>
      </c>
      <c r="N18" s="69" t="str">
        <f>IF(AND('Mapa final'!$AA$27="Alta",'Mapa final'!$AC$27="Leve"),CONCATENATE("R3C",'Mapa final'!$Q$27),"")</f>
        <v/>
      </c>
      <c r="O18" s="70" t="str">
        <f>IF(AND('Mapa final'!$AA$28="Alta",'Mapa final'!$AC$28="Leve"),CONCATENATE("R3C",'Mapa final'!$Q$28),"")</f>
        <v/>
      </c>
      <c r="P18" s="68" t="str">
        <f>IF(AND('Mapa final'!$AA$23="Alta",'Mapa final'!$AC$23="Menor"),CONCATENATE("R3C",'Mapa final'!$Q$23),"")</f>
        <v/>
      </c>
      <c r="Q18" s="69" t="str">
        <f>IF(AND('Mapa final'!$AA$24="Alta",'Mapa final'!$AC$24="Menor"),CONCATENATE("R3C",'Mapa final'!$Q$24),"")</f>
        <v/>
      </c>
      <c r="R18" s="69" t="str">
        <f>IF(AND('Mapa final'!$AA$25="Alta",'Mapa final'!$AC$25="Menor"),CONCATENATE("R3C",'Mapa final'!$Q$25),"")</f>
        <v/>
      </c>
      <c r="S18" s="69" t="str">
        <f>IF(AND('Mapa final'!$AA$26="Alta",'Mapa final'!$AC$26="Menor"),CONCATENATE("R3C",'Mapa final'!$Q$26),"")</f>
        <v/>
      </c>
      <c r="T18" s="69" t="str">
        <f>IF(AND('Mapa final'!$AA$27="Alta",'Mapa final'!$AC$27="Menor"),CONCATENATE("R3C",'Mapa final'!$Q$27),"")</f>
        <v/>
      </c>
      <c r="U18" s="70" t="str">
        <f>IF(AND('Mapa final'!$AA$28="Alta",'Mapa final'!$AC$28="Menor"),CONCATENATE("R3C",'Mapa final'!$Q$28),"")</f>
        <v/>
      </c>
      <c r="V18" s="52" t="str">
        <f>IF(AND('Mapa final'!$AA$23="Alta",'Mapa final'!$AC$23="Moderado"),CONCATENATE("R3C",'Mapa final'!$Q$23),"")</f>
        <v/>
      </c>
      <c r="W18" s="53" t="str">
        <f>IF(AND('Mapa final'!$AA$24="Alta",'Mapa final'!$AC$24="Moderado"),CONCATENATE("R3C",'Mapa final'!$Q$24),"")</f>
        <v/>
      </c>
      <c r="X18" s="53" t="str">
        <f>IF(AND('Mapa final'!$AA$25="Alta",'Mapa final'!$AC$25="Moderado"),CONCATENATE("R3C",'Mapa final'!$Q$25),"")</f>
        <v/>
      </c>
      <c r="Y18" s="53" t="str">
        <f>IF(AND('Mapa final'!$AA$26="Alta",'Mapa final'!$AC$26="Moderado"),CONCATENATE("R3C",'Mapa final'!$Q$26),"")</f>
        <v/>
      </c>
      <c r="Z18" s="53" t="str">
        <f>IF(AND('Mapa final'!$AA$27="Alta",'Mapa final'!$AC$27="Moderado"),CONCATENATE("R3C",'Mapa final'!$Q$27),"")</f>
        <v/>
      </c>
      <c r="AA18" s="54" t="str">
        <f>IF(AND('Mapa final'!$AA$28="Alta",'Mapa final'!$AC$28="Moderado"),CONCATENATE("R3C",'Mapa final'!$Q$28),"")</f>
        <v/>
      </c>
      <c r="AB18" s="52" t="str">
        <f>IF(AND('Mapa final'!$AA$23="Alta",'Mapa final'!$AC$23="Mayor"),CONCATENATE("R3C",'Mapa final'!$Q$23),"")</f>
        <v/>
      </c>
      <c r="AC18" s="53" t="str">
        <f>IF(AND('Mapa final'!$AA$24="Alta",'Mapa final'!$AC$24="Mayor"),CONCATENATE("R3C",'Mapa final'!$Q$24),"")</f>
        <v/>
      </c>
      <c r="AD18" s="53" t="str">
        <f>IF(AND('Mapa final'!$AA$25="Alta",'Mapa final'!$AC$25="Mayor"),CONCATENATE("R3C",'Mapa final'!$Q$25),"")</f>
        <v/>
      </c>
      <c r="AE18" s="53" t="str">
        <f>IF(AND('Mapa final'!$AA$26="Alta",'Mapa final'!$AC$26="Mayor"),CONCATENATE("R3C",'Mapa final'!$Q$26),"")</f>
        <v/>
      </c>
      <c r="AF18" s="53" t="str">
        <f>IF(AND('Mapa final'!$AA$27="Alta",'Mapa final'!$AC$27="Mayor"),CONCATENATE("R3C",'Mapa final'!$Q$27),"")</f>
        <v/>
      </c>
      <c r="AG18" s="54" t="str">
        <f>IF(AND('Mapa final'!$AA$28="Alta",'Mapa final'!$AC$28="Mayor"),CONCATENATE("R3C",'Mapa final'!$Q$28),"")</f>
        <v/>
      </c>
      <c r="AH18" s="55" t="str">
        <f>IF(AND('Mapa final'!$AA$23="Alta",'Mapa final'!$AC$23="Catastrófico"),CONCATENATE("R3C",'Mapa final'!$Q$23),"")</f>
        <v/>
      </c>
      <c r="AI18" s="56" t="str">
        <f>IF(AND('Mapa final'!$AA$24="Alta",'Mapa final'!$AC$24="Catastrófico"),CONCATENATE("R3C",'Mapa final'!$Q$24),"")</f>
        <v/>
      </c>
      <c r="AJ18" s="56" t="str">
        <f>IF(AND('Mapa final'!$AA$25="Alta",'Mapa final'!$AC$25="Catastrófico"),CONCATENATE("R3C",'Mapa final'!$Q$25),"")</f>
        <v/>
      </c>
      <c r="AK18" s="56" t="str">
        <f>IF(AND('Mapa final'!$AA$26="Alta",'Mapa final'!$AC$26="Catastrófico"),CONCATENATE("R3C",'Mapa final'!$Q$26),"")</f>
        <v/>
      </c>
      <c r="AL18" s="56" t="str">
        <f>IF(AND('Mapa final'!$AA$27="Alta",'Mapa final'!$AC$27="Catastrófico"),CONCATENATE("R3C",'Mapa final'!$Q$27),"")</f>
        <v/>
      </c>
      <c r="AM18" s="57" t="str">
        <f>IF(AND('Mapa final'!$AA$28="Alta",'Mapa final'!$AC$28="Catastrófico"),CONCATENATE("R3C",'Mapa final'!$Q$28),"")</f>
        <v/>
      </c>
      <c r="AN18" s="84"/>
      <c r="AO18" s="364"/>
      <c r="AP18" s="365"/>
      <c r="AQ18" s="365"/>
      <c r="AR18" s="365"/>
      <c r="AS18" s="365"/>
      <c r="AT18" s="366"/>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313"/>
      <c r="C19" s="313"/>
      <c r="D19" s="314"/>
      <c r="E19" s="354"/>
      <c r="F19" s="355"/>
      <c r="G19" s="355"/>
      <c r="H19" s="355"/>
      <c r="I19" s="371"/>
      <c r="J19" s="68" t="str">
        <f>IF(AND('Mapa final'!$AA$29="Alta",'Mapa final'!$AC$29="Leve"),CONCATENATE("R4C",'Mapa final'!$Q$29),"")</f>
        <v/>
      </c>
      <c r="K19" s="69" t="str">
        <f>IF(AND('Mapa final'!$AA$30="Alta",'Mapa final'!$AC$30="Leve"),CONCATENATE("R4C",'Mapa final'!$Q$30),"")</f>
        <v/>
      </c>
      <c r="L19" s="69" t="str">
        <f>IF(AND('Mapa final'!$AA$31="Alta",'Mapa final'!$AC$31="Leve"),CONCATENATE("R4C",'Mapa final'!$Q$31),"")</f>
        <v/>
      </c>
      <c r="M19" s="69" t="str">
        <f>IF(AND('Mapa final'!$AA$32="Alta",'Mapa final'!$AC$32="Leve"),CONCATENATE("R4C",'Mapa final'!$Q$32),"")</f>
        <v/>
      </c>
      <c r="N19" s="69" t="str">
        <f>IF(AND('Mapa final'!$AA$33="Alta",'Mapa final'!$AC$33="Leve"),CONCATENATE("R4C",'Mapa final'!$Q$33),"")</f>
        <v/>
      </c>
      <c r="O19" s="70" t="str">
        <f>IF(AND('Mapa final'!$AA$34="Alta",'Mapa final'!$AC$34="Leve"),CONCATENATE("R4C",'Mapa final'!$Q$34),"")</f>
        <v/>
      </c>
      <c r="P19" s="68" t="str">
        <f>IF(AND('Mapa final'!$AA$29="Alta",'Mapa final'!$AC$29="Menor"),CONCATENATE("R4C",'Mapa final'!$Q$29),"")</f>
        <v/>
      </c>
      <c r="Q19" s="69" t="str">
        <f>IF(AND('Mapa final'!$AA$30="Alta",'Mapa final'!$AC$30="Menor"),CONCATENATE("R4C",'Mapa final'!$Q$30),"")</f>
        <v/>
      </c>
      <c r="R19" s="69" t="str">
        <f>IF(AND('Mapa final'!$AA$31="Alta",'Mapa final'!$AC$31="Menor"),CONCATENATE("R4C",'Mapa final'!$Q$31),"")</f>
        <v/>
      </c>
      <c r="S19" s="69" t="str">
        <f>IF(AND('Mapa final'!$AA$32="Alta",'Mapa final'!$AC$32="Menor"),CONCATENATE("R4C",'Mapa final'!$Q$32),"")</f>
        <v/>
      </c>
      <c r="T19" s="69" t="str">
        <f>IF(AND('Mapa final'!$AA$33="Alta",'Mapa final'!$AC$33="Menor"),CONCATENATE("R4C",'Mapa final'!$Q$33),"")</f>
        <v/>
      </c>
      <c r="U19" s="70" t="str">
        <f>IF(AND('Mapa final'!$AA$34="Alta",'Mapa final'!$AC$34="Menor"),CONCATENATE("R4C",'Mapa final'!$Q$34),"")</f>
        <v/>
      </c>
      <c r="V19" s="52" t="str">
        <f>IF(AND('Mapa final'!$AA$29="Alta",'Mapa final'!$AC$29="Moderado"),CONCATENATE("R4C",'Mapa final'!$Q$29),"")</f>
        <v/>
      </c>
      <c r="W19" s="53" t="str">
        <f>IF(AND('Mapa final'!$AA$30="Alta",'Mapa final'!$AC$30="Moderado"),CONCATENATE("R4C",'Mapa final'!$Q$30),"")</f>
        <v/>
      </c>
      <c r="X19" s="58" t="str">
        <f>IF(AND('Mapa final'!$AA$31="Alta",'Mapa final'!$AC$31="Moderado"),CONCATENATE("R4C",'Mapa final'!$Q$31),"")</f>
        <v/>
      </c>
      <c r="Y19" s="58" t="str">
        <f>IF(AND('Mapa final'!$AA$32="Alta",'Mapa final'!$AC$32="Moderado"),CONCATENATE("R4C",'Mapa final'!$Q$32),"")</f>
        <v/>
      </c>
      <c r="Z19" s="58" t="str">
        <f>IF(AND('Mapa final'!$AA$33="Alta",'Mapa final'!$AC$33="Moderado"),CONCATENATE("R4C",'Mapa final'!$Q$33),"")</f>
        <v/>
      </c>
      <c r="AA19" s="54" t="str">
        <f>IF(AND('Mapa final'!$AA$34="Alta",'Mapa final'!$AC$34="Moderado"),CONCATENATE("R4C",'Mapa final'!$Q$34),"")</f>
        <v/>
      </c>
      <c r="AB19" s="52" t="str">
        <f>IF(AND('Mapa final'!$AA$29="Alta",'Mapa final'!$AC$29="Mayor"),CONCATENATE("R4C",'Mapa final'!$Q$29),"")</f>
        <v/>
      </c>
      <c r="AC19" s="53" t="str">
        <f>IF(AND('Mapa final'!$AA$30="Alta",'Mapa final'!$AC$30="Mayor"),CONCATENATE("R4C",'Mapa final'!$Q$30),"")</f>
        <v/>
      </c>
      <c r="AD19" s="58" t="str">
        <f>IF(AND('Mapa final'!$AA$31="Alta",'Mapa final'!$AC$31="Mayor"),CONCATENATE("R4C",'Mapa final'!$Q$31),"")</f>
        <v/>
      </c>
      <c r="AE19" s="58" t="str">
        <f>IF(AND('Mapa final'!$AA$32="Alta",'Mapa final'!$AC$32="Mayor"),CONCATENATE("R4C",'Mapa final'!$Q$32),"")</f>
        <v/>
      </c>
      <c r="AF19" s="58" t="str">
        <f>IF(AND('Mapa final'!$AA$33="Alta",'Mapa final'!$AC$33="Mayor"),CONCATENATE("R4C",'Mapa final'!$Q$33),"")</f>
        <v/>
      </c>
      <c r="AG19" s="54" t="str">
        <f>IF(AND('Mapa final'!$AA$34="Alta",'Mapa final'!$AC$34="Mayor"),CONCATENATE("R4C",'Mapa final'!$Q$34),"")</f>
        <v/>
      </c>
      <c r="AH19" s="55" t="str">
        <f>IF(AND('Mapa final'!$AA$29="Alta",'Mapa final'!$AC$29="Catastrófico"),CONCATENATE("R4C",'Mapa final'!$Q$29),"")</f>
        <v/>
      </c>
      <c r="AI19" s="56" t="str">
        <f>IF(AND('Mapa final'!$AA$30="Alta",'Mapa final'!$AC$30="Catastrófico"),CONCATENATE("R4C",'Mapa final'!$Q$30),"")</f>
        <v/>
      </c>
      <c r="AJ19" s="56" t="str">
        <f>IF(AND('Mapa final'!$AA$31="Alta",'Mapa final'!$AC$31="Catastrófico"),CONCATENATE("R4C",'Mapa final'!$Q$31),"")</f>
        <v/>
      </c>
      <c r="AK19" s="56" t="str">
        <f>IF(AND('Mapa final'!$AA$32="Alta",'Mapa final'!$AC$32="Catastrófico"),CONCATENATE("R4C",'Mapa final'!$Q$32),"")</f>
        <v/>
      </c>
      <c r="AL19" s="56" t="str">
        <f>IF(AND('Mapa final'!$AA$33="Alta",'Mapa final'!$AC$33="Catastrófico"),CONCATENATE("R4C",'Mapa final'!$Q$33),"")</f>
        <v/>
      </c>
      <c r="AM19" s="57" t="str">
        <f>IF(AND('Mapa final'!$AA$34="Alta",'Mapa final'!$AC$34="Catastrófico"),CONCATENATE("R4C",'Mapa final'!$Q$34),"")</f>
        <v/>
      </c>
      <c r="AN19" s="84"/>
      <c r="AO19" s="364"/>
      <c r="AP19" s="365"/>
      <c r="AQ19" s="365"/>
      <c r="AR19" s="365"/>
      <c r="AS19" s="365"/>
      <c r="AT19" s="366"/>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313"/>
      <c r="C20" s="313"/>
      <c r="D20" s="314"/>
      <c r="E20" s="354"/>
      <c r="F20" s="355"/>
      <c r="G20" s="355"/>
      <c r="H20" s="355"/>
      <c r="I20" s="371"/>
      <c r="J20" s="68" t="str">
        <f>IF(AND('Mapa final'!$AA$35="Alta",'Mapa final'!$AC$35="Leve"),CONCATENATE("R5C",'Mapa final'!$Q$35),"")</f>
        <v/>
      </c>
      <c r="K20" s="69" t="str">
        <f>IF(AND('Mapa final'!$AA$36="Alta",'Mapa final'!$AC$36="Leve"),CONCATENATE("R5C",'Mapa final'!$Q$36),"")</f>
        <v/>
      </c>
      <c r="L20" s="69" t="str">
        <f>IF(AND('Mapa final'!$AA$37="Alta",'Mapa final'!$AC$37="Leve"),CONCATENATE("R5C",'Mapa final'!$Q$37),"")</f>
        <v/>
      </c>
      <c r="M20" s="69" t="str">
        <f>IF(AND('Mapa final'!$AA$38="Alta",'Mapa final'!$AC$38="Leve"),CONCATENATE("R5C",'Mapa final'!$Q$38),"")</f>
        <v/>
      </c>
      <c r="N20" s="69" t="str">
        <f>IF(AND('Mapa final'!$AA$39="Alta",'Mapa final'!$AC$39="Leve"),CONCATENATE("R5C",'Mapa final'!$Q$39),"")</f>
        <v/>
      </c>
      <c r="O20" s="70" t="str">
        <f>IF(AND('Mapa final'!$AA$40="Alta",'Mapa final'!$AC$40="Leve"),CONCATENATE("R5C",'Mapa final'!$Q$40),"")</f>
        <v/>
      </c>
      <c r="P20" s="68" t="str">
        <f>IF(AND('Mapa final'!$AA$35="Alta",'Mapa final'!$AC$35="Menor"),CONCATENATE("R5C",'Mapa final'!$Q$35),"")</f>
        <v/>
      </c>
      <c r="Q20" s="69" t="str">
        <f>IF(AND('Mapa final'!$AA$36="Alta",'Mapa final'!$AC$36="Menor"),CONCATENATE("R5C",'Mapa final'!$Q$36),"")</f>
        <v/>
      </c>
      <c r="R20" s="69" t="str">
        <f>IF(AND('Mapa final'!$AA$37="Alta",'Mapa final'!$AC$37="Menor"),CONCATENATE("R5C",'Mapa final'!$Q$37),"")</f>
        <v/>
      </c>
      <c r="S20" s="69" t="str">
        <f>IF(AND('Mapa final'!$AA$38="Alta",'Mapa final'!$AC$38="Menor"),CONCATENATE("R5C",'Mapa final'!$Q$38),"")</f>
        <v/>
      </c>
      <c r="T20" s="69" t="str">
        <f>IF(AND('Mapa final'!$AA$39="Alta",'Mapa final'!$AC$39="Menor"),CONCATENATE("R5C",'Mapa final'!$Q$39),"")</f>
        <v/>
      </c>
      <c r="U20" s="70" t="str">
        <f>IF(AND('Mapa final'!$AA$40="Alta",'Mapa final'!$AC$40="Menor"),CONCATENATE("R5C",'Mapa final'!$Q$40),"")</f>
        <v/>
      </c>
      <c r="V20" s="52" t="str">
        <f>IF(AND('Mapa final'!$AA$35="Alta",'Mapa final'!$AC$35="Moderado"),CONCATENATE("R5C",'Mapa final'!$Q$35),"")</f>
        <v/>
      </c>
      <c r="W20" s="53" t="str">
        <f>IF(AND('Mapa final'!$AA$36="Alta",'Mapa final'!$AC$36="Moderado"),CONCATENATE("R5C",'Mapa final'!$Q$36),"")</f>
        <v/>
      </c>
      <c r="X20" s="58" t="str">
        <f>IF(AND('Mapa final'!$AA$37="Alta",'Mapa final'!$AC$37="Moderado"),CONCATENATE("R5C",'Mapa final'!$Q$37),"")</f>
        <v/>
      </c>
      <c r="Y20" s="58" t="str">
        <f>IF(AND('Mapa final'!$AA$38="Alta",'Mapa final'!$AC$38="Moderado"),CONCATENATE("R5C",'Mapa final'!$Q$38),"")</f>
        <v/>
      </c>
      <c r="Z20" s="58" t="str">
        <f>IF(AND('Mapa final'!$AA$39="Alta",'Mapa final'!$AC$39="Moderado"),CONCATENATE("R5C",'Mapa final'!$Q$39),"")</f>
        <v/>
      </c>
      <c r="AA20" s="54" t="str">
        <f>IF(AND('Mapa final'!$AA$40="Alta",'Mapa final'!$AC$40="Moderado"),CONCATENATE("R5C",'Mapa final'!$Q$40),"")</f>
        <v/>
      </c>
      <c r="AB20" s="52" t="str">
        <f>IF(AND('Mapa final'!$AA$35="Alta",'Mapa final'!$AC$35="Mayor"),CONCATENATE("R5C",'Mapa final'!$Q$35),"")</f>
        <v/>
      </c>
      <c r="AC20" s="53" t="str">
        <f>IF(AND('Mapa final'!$AA$36="Alta",'Mapa final'!$AC$36="Mayor"),CONCATENATE("R5C",'Mapa final'!$Q$36),"")</f>
        <v/>
      </c>
      <c r="AD20" s="58" t="str">
        <f>IF(AND('Mapa final'!$AA$37="Alta",'Mapa final'!$AC$37="Mayor"),CONCATENATE("R5C",'Mapa final'!$Q$37),"")</f>
        <v/>
      </c>
      <c r="AE20" s="58" t="str">
        <f>IF(AND('Mapa final'!$AA$38="Alta",'Mapa final'!$AC$38="Mayor"),CONCATENATE("R5C",'Mapa final'!$Q$38),"")</f>
        <v/>
      </c>
      <c r="AF20" s="58" t="str">
        <f>IF(AND('Mapa final'!$AA$39="Alta",'Mapa final'!$AC$39="Mayor"),CONCATENATE("R5C",'Mapa final'!$Q$39),"")</f>
        <v/>
      </c>
      <c r="AG20" s="54" t="str">
        <f>IF(AND('Mapa final'!$AA$40="Alta",'Mapa final'!$AC$40="Mayor"),CONCATENATE("R5C",'Mapa final'!$Q$40),"")</f>
        <v/>
      </c>
      <c r="AH20" s="55" t="str">
        <f>IF(AND('Mapa final'!$AA$35="Alta",'Mapa final'!$AC$35="Catastrófico"),CONCATENATE("R5C",'Mapa final'!$Q$35),"")</f>
        <v/>
      </c>
      <c r="AI20" s="56" t="str">
        <f>IF(AND('Mapa final'!$AA$36="Alta",'Mapa final'!$AC$36="Catastrófico"),CONCATENATE("R5C",'Mapa final'!$Q$36),"")</f>
        <v/>
      </c>
      <c r="AJ20" s="56" t="str">
        <f>IF(AND('Mapa final'!$AA$37="Alta",'Mapa final'!$AC$37="Catastrófico"),CONCATENATE("R5C",'Mapa final'!$Q$37),"")</f>
        <v/>
      </c>
      <c r="AK20" s="56" t="str">
        <f>IF(AND('Mapa final'!$AA$38="Alta",'Mapa final'!$AC$38="Catastrófico"),CONCATENATE("R5C",'Mapa final'!$Q$38),"")</f>
        <v/>
      </c>
      <c r="AL20" s="56" t="str">
        <f>IF(AND('Mapa final'!$AA$39="Alta",'Mapa final'!$AC$39="Catastrófico"),CONCATENATE("R5C",'Mapa final'!$Q$39),"")</f>
        <v/>
      </c>
      <c r="AM20" s="57" t="str">
        <f>IF(AND('Mapa final'!$AA$40="Alta",'Mapa final'!$AC$40="Catastrófico"),CONCATENATE("R5C",'Mapa final'!$Q$40),"")</f>
        <v/>
      </c>
      <c r="AN20" s="84"/>
      <c r="AO20" s="364"/>
      <c r="AP20" s="365"/>
      <c r="AQ20" s="365"/>
      <c r="AR20" s="365"/>
      <c r="AS20" s="365"/>
      <c r="AT20" s="366"/>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313"/>
      <c r="C21" s="313"/>
      <c r="D21" s="314"/>
      <c r="E21" s="354"/>
      <c r="F21" s="355"/>
      <c r="G21" s="355"/>
      <c r="H21" s="355"/>
      <c r="I21" s="371"/>
      <c r="J21" s="68" t="str">
        <f>IF(AND('Mapa final'!$AA$41="Alta",'Mapa final'!$AC$41="Leve"),CONCATENATE("R6C",'Mapa final'!$Q$41),"")</f>
        <v/>
      </c>
      <c r="K21" s="69" t="str">
        <f>IF(AND('Mapa final'!$AA$42="Alta",'Mapa final'!$AC$42="Leve"),CONCATENATE("R6C",'Mapa final'!$Q$42),"")</f>
        <v/>
      </c>
      <c r="L21" s="69" t="str">
        <f>IF(AND('Mapa final'!$AA$43="Alta",'Mapa final'!$AC$43="Leve"),CONCATENATE("R6C",'Mapa final'!$Q$43),"")</f>
        <v/>
      </c>
      <c r="M21" s="69" t="str">
        <f>IF(AND('Mapa final'!$AA$44="Alta",'Mapa final'!$AC$44="Leve"),CONCATENATE("R6C",'Mapa final'!$Q$44),"")</f>
        <v/>
      </c>
      <c r="N21" s="69" t="str">
        <f>IF(AND('Mapa final'!$AA$45="Alta",'Mapa final'!$AC$45="Leve"),CONCATENATE("R6C",'Mapa final'!$Q$45),"")</f>
        <v/>
      </c>
      <c r="O21" s="70" t="str">
        <f>IF(AND('Mapa final'!$AA$46="Alta",'Mapa final'!$AC$46="Leve"),CONCATENATE("R6C",'Mapa final'!$Q$46),"")</f>
        <v/>
      </c>
      <c r="P21" s="68" t="str">
        <f>IF(AND('Mapa final'!$AA$41="Alta",'Mapa final'!$AC$41="Menor"),CONCATENATE("R6C",'Mapa final'!$Q$41),"")</f>
        <v/>
      </c>
      <c r="Q21" s="69" t="str">
        <f>IF(AND('Mapa final'!$AA$42="Alta",'Mapa final'!$AC$42="Menor"),CONCATENATE("R6C",'Mapa final'!$Q$42),"")</f>
        <v/>
      </c>
      <c r="R21" s="69" t="str">
        <f>IF(AND('Mapa final'!$AA$43="Alta",'Mapa final'!$AC$43="Menor"),CONCATENATE("R6C",'Mapa final'!$Q$43),"")</f>
        <v/>
      </c>
      <c r="S21" s="69" t="str">
        <f>IF(AND('Mapa final'!$AA$44="Alta",'Mapa final'!$AC$44="Menor"),CONCATENATE("R6C",'Mapa final'!$Q$44),"")</f>
        <v/>
      </c>
      <c r="T21" s="69" t="str">
        <f>IF(AND('Mapa final'!$AA$45="Alta",'Mapa final'!$AC$45="Menor"),CONCATENATE("R6C",'Mapa final'!$Q$45),"")</f>
        <v/>
      </c>
      <c r="U21" s="70" t="str">
        <f>IF(AND('Mapa final'!$AA$46="Alta",'Mapa final'!$AC$46="Menor"),CONCATENATE("R6C",'Mapa final'!$Q$46),"")</f>
        <v/>
      </c>
      <c r="V21" s="52" t="str">
        <f>IF(AND('Mapa final'!$AA$41="Alta",'Mapa final'!$AC$41="Moderado"),CONCATENATE("R6C",'Mapa final'!$Q$41),"")</f>
        <v/>
      </c>
      <c r="W21" s="53" t="str">
        <f>IF(AND('Mapa final'!$AA$42="Alta",'Mapa final'!$AC$42="Moderado"),CONCATENATE("R6C",'Mapa final'!$Q$42),"")</f>
        <v/>
      </c>
      <c r="X21" s="58" t="str">
        <f>IF(AND('Mapa final'!$AA$43="Alta",'Mapa final'!$AC$43="Moderado"),CONCATENATE("R6C",'Mapa final'!$Q$43),"")</f>
        <v/>
      </c>
      <c r="Y21" s="58" t="str">
        <f>IF(AND('Mapa final'!$AA$44="Alta",'Mapa final'!$AC$44="Moderado"),CONCATENATE("R6C",'Mapa final'!$Q$44),"")</f>
        <v/>
      </c>
      <c r="Z21" s="58" t="str">
        <f>IF(AND('Mapa final'!$AA$45="Alta",'Mapa final'!$AC$45="Moderado"),CONCATENATE("R6C",'Mapa final'!$Q$45),"")</f>
        <v/>
      </c>
      <c r="AA21" s="54" t="str">
        <f>IF(AND('Mapa final'!$AA$46="Alta",'Mapa final'!$AC$46="Moderado"),CONCATENATE("R6C",'Mapa final'!$Q$46),"")</f>
        <v/>
      </c>
      <c r="AB21" s="52" t="str">
        <f>IF(AND('Mapa final'!$AA$41="Alta",'Mapa final'!$AC$41="Mayor"),CONCATENATE("R6C",'Mapa final'!$Q$41),"")</f>
        <v/>
      </c>
      <c r="AC21" s="53" t="str">
        <f>IF(AND('Mapa final'!$AA$42="Alta",'Mapa final'!$AC$42="Mayor"),CONCATENATE("R6C",'Mapa final'!$Q$42),"")</f>
        <v/>
      </c>
      <c r="AD21" s="58" t="str">
        <f>IF(AND('Mapa final'!$AA$43="Alta",'Mapa final'!$AC$43="Mayor"),CONCATENATE("R6C",'Mapa final'!$Q$43),"")</f>
        <v/>
      </c>
      <c r="AE21" s="58" t="str">
        <f>IF(AND('Mapa final'!$AA$44="Alta",'Mapa final'!$AC$44="Mayor"),CONCATENATE("R6C",'Mapa final'!$Q$44),"")</f>
        <v/>
      </c>
      <c r="AF21" s="58" t="str">
        <f>IF(AND('Mapa final'!$AA$45="Alta",'Mapa final'!$AC$45="Mayor"),CONCATENATE("R6C",'Mapa final'!$Q$45),"")</f>
        <v/>
      </c>
      <c r="AG21" s="54" t="str">
        <f>IF(AND('Mapa final'!$AA$46="Alta",'Mapa final'!$AC$46="Mayor"),CONCATENATE("R6C",'Mapa final'!$Q$46),"")</f>
        <v/>
      </c>
      <c r="AH21" s="55" t="str">
        <f>IF(AND('Mapa final'!$AA$41="Alta",'Mapa final'!$AC$41="Catastrófico"),CONCATENATE("R6C",'Mapa final'!$Q$41),"")</f>
        <v/>
      </c>
      <c r="AI21" s="56" t="str">
        <f>IF(AND('Mapa final'!$AA$42="Alta",'Mapa final'!$AC$42="Catastrófico"),CONCATENATE("R6C",'Mapa final'!$Q$42),"")</f>
        <v/>
      </c>
      <c r="AJ21" s="56" t="str">
        <f>IF(AND('Mapa final'!$AA$43="Alta",'Mapa final'!$AC$43="Catastrófico"),CONCATENATE("R6C",'Mapa final'!$Q$43),"")</f>
        <v/>
      </c>
      <c r="AK21" s="56" t="str">
        <f>IF(AND('Mapa final'!$AA$44="Alta",'Mapa final'!$AC$44="Catastrófico"),CONCATENATE("R6C",'Mapa final'!$Q$44),"")</f>
        <v/>
      </c>
      <c r="AL21" s="56" t="str">
        <f>IF(AND('Mapa final'!$AA$45="Alta",'Mapa final'!$AC$45="Catastrófico"),CONCATENATE("R6C",'Mapa final'!$Q$45),"")</f>
        <v/>
      </c>
      <c r="AM21" s="57" t="str">
        <f>IF(AND('Mapa final'!$AA$46="Alta",'Mapa final'!$AC$46="Catastrófico"),CONCATENATE("R6C",'Mapa final'!$Q$46),"")</f>
        <v/>
      </c>
      <c r="AN21" s="84"/>
      <c r="AO21" s="364"/>
      <c r="AP21" s="365"/>
      <c r="AQ21" s="365"/>
      <c r="AR21" s="365"/>
      <c r="AS21" s="365"/>
      <c r="AT21" s="366"/>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313"/>
      <c r="C22" s="313"/>
      <c r="D22" s="314"/>
      <c r="E22" s="354"/>
      <c r="F22" s="355"/>
      <c r="G22" s="355"/>
      <c r="H22" s="355"/>
      <c r="I22" s="371"/>
      <c r="J22" s="68" t="str">
        <f>IF(AND('Mapa final'!$AA$47="Alta",'Mapa final'!$AC$47="Leve"),CONCATENATE("R7C",'Mapa final'!$Q$47),"")</f>
        <v/>
      </c>
      <c r="K22" s="69" t="str">
        <f>IF(AND('Mapa final'!$AA$48="Alta",'Mapa final'!$AC$48="Leve"),CONCATENATE("R7C",'Mapa final'!$Q$48),"")</f>
        <v/>
      </c>
      <c r="L22" s="69" t="str">
        <f>IF(AND('Mapa final'!$AA$49="Alta",'Mapa final'!$AC$49="Leve"),CONCATENATE("R7C",'Mapa final'!$Q$49),"")</f>
        <v/>
      </c>
      <c r="M22" s="69" t="str">
        <f>IF(AND('Mapa final'!$AA$50="Alta",'Mapa final'!$AC$50="Leve"),CONCATENATE("R7C",'Mapa final'!$Q$50),"")</f>
        <v/>
      </c>
      <c r="N22" s="69" t="str">
        <f>IF(AND('Mapa final'!$AA$51="Alta",'Mapa final'!$AC$51="Leve"),CONCATENATE("R7C",'Mapa final'!$Q$51),"")</f>
        <v/>
      </c>
      <c r="O22" s="70" t="str">
        <f>IF(AND('Mapa final'!$AA$52="Alta",'Mapa final'!$AC$52="Leve"),CONCATENATE("R7C",'Mapa final'!$Q$52),"")</f>
        <v/>
      </c>
      <c r="P22" s="68" t="str">
        <f>IF(AND('Mapa final'!$AA$47="Alta",'Mapa final'!$AC$47="Menor"),CONCATENATE("R7C",'Mapa final'!$Q$47),"")</f>
        <v/>
      </c>
      <c r="Q22" s="69" t="str">
        <f>IF(AND('Mapa final'!$AA$48="Alta",'Mapa final'!$AC$48="Menor"),CONCATENATE("R7C",'Mapa final'!$Q$48),"")</f>
        <v/>
      </c>
      <c r="R22" s="69" t="str">
        <f>IF(AND('Mapa final'!$AA$49="Alta",'Mapa final'!$AC$49="Menor"),CONCATENATE("R7C",'Mapa final'!$Q$49),"")</f>
        <v/>
      </c>
      <c r="S22" s="69" t="str">
        <f>IF(AND('Mapa final'!$AA$50="Alta",'Mapa final'!$AC$50="Menor"),CONCATENATE("R7C",'Mapa final'!$Q$50),"")</f>
        <v/>
      </c>
      <c r="T22" s="69" t="str">
        <f>IF(AND('Mapa final'!$AA$51="Alta",'Mapa final'!$AC$51="Menor"),CONCATENATE("R7C",'Mapa final'!$Q$51),"")</f>
        <v/>
      </c>
      <c r="U22" s="70" t="str">
        <f>IF(AND('Mapa final'!$AA$52="Alta",'Mapa final'!$AC$52="Menor"),CONCATENATE("R7C",'Mapa final'!$Q$52),"")</f>
        <v/>
      </c>
      <c r="V22" s="52" t="str">
        <f>IF(AND('Mapa final'!$AA$47="Alta",'Mapa final'!$AC$47="Moderado"),CONCATENATE("R7C",'Mapa final'!$Q$47),"")</f>
        <v/>
      </c>
      <c r="W22" s="53" t="str">
        <f>IF(AND('Mapa final'!$AA$48="Alta",'Mapa final'!$AC$48="Moderado"),CONCATENATE("R7C",'Mapa final'!$Q$48),"")</f>
        <v/>
      </c>
      <c r="X22" s="58" t="str">
        <f>IF(AND('Mapa final'!$AA$49="Alta",'Mapa final'!$AC$49="Moderado"),CONCATENATE("R7C",'Mapa final'!$Q$49),"")</f>
        <v/>
      </c>
      <c r="Y22" s="58" t="str">
        <f>IF(AND('Mapa final'!$AA$50="Alta",'Mapa final'!$AC$50="Moderado"),CONCATENATE("R7C",'Mapa final'!$Q$50),"")</f>
        <v/>
      </c>
      <c r="Z22" s="58" t="str">
        <f>IF(AND('Mapa final'!$AA$51="Alta",'Mapa final'!$AC$51="Moderado"),CONCATENATE("R7C",'Mapa final'!$Q$51),"")</f>
        <v/>
      </c>
      <c r="AA22" s="54" t="str">
        <f>IF(AND('Mapa final'!$AA$52="Alta",'Mapa final'!$AC$52="Moderado"),CONCATENATE("R7C",'Mapa final'!$Q$52),"")</f>
        <v/>
      </c>
      <c r="AB22" s="52" t="str">
        <f>IF(AND('Mapa final'!$AA$47="Alta",'Mapa final'!$AC$47="Mayor"),CONCATENATE("R7C",'Mapa final'!$Q$47),"")</f>
        <v/>
      </c>
      <c r="AC22" s="53" t="str">
        <f>IF(AND('Mapa final'!$AA$48="Alta",'Mapa final'!$AC$48="Mayor"),CONCATENATE("R7C",'Mapa final'!$Q$48),"")</f>
        <v/>
      </c>
      <c r="AD22" s="58" t="str">
        <f>IF(AND('Mapa final'!$AA$49="Alta",'Mapa final'!$AC$49="Mayor"),CONCATENATE("R7C",'Mapa final'!$Q$49),"")</f>
        <v/>
      </c>
      <c r="AE22" s="58" t="str">
        <f>IF(AND('Mapa final'!$AA$50="Alta",'Mapa final'!$AC$50="Mayor"),CONCATENATE("R7C",'Mapa final'!$Q$50),"")</f>
        <v/>
      </c>
      <c r="AF22" s="58" t="str">
        <f>IF(AND('Mapa final'!$AA$51="Alta",'Mapa final'!$AC$51="Mayor"),CONCATENATE("R7C",'Mapa final'!$Q$51),"")</f>
        <v/>
      </c>
      <c r="AG22" s="54" t="str">
        <f>IF(AND('Mapa final'!$AA$52="Alta",'Mapa final'!$AC$52="Mayor"),CONCATENATE("R7C",'Mapa final'!$Q$52),"")</f>
        <v/>
      </c>
      <c r="AH22" s="55" t="str">
        <f>IF(AND('Mapa final'!$AA$47="Alta",'Mapa final'!$AC$47="Catastrófico"),CONCATENATE("R7C",'Mapa final'!$Q$47),"")</f>
        <v/>
      </c>
      <c r="AI22" s="56" t="str">
        <f>IF(AND('Mapa final'!$AA$48="Alta",'Mapa final'!$AC$48="Catastrófico"),CONCATENATE("R7C",'Mapa final'!$Q$48),"")</f>
        <v/>
      </c>
      <c r="AJ22" s="56" t="str">
        <f>IF(AND('Mapa final'!$AA$49="Alta",'Mapa final'!$AC$49="Catastrófico"),CONCATENATE("R7C",'Mapa final'!$Q$49),"")</f>
        <v/>
      </c>
      <c r="AK22" s="56" t="str">
        <f>IF(AND('Mapa final'!$AA$50="Alta",'Mapa final'!$AC$50="Catastrófico"),CONCATENATE("R7C",'Mapa final'!$Q$50),"")</f>
        <v/>
      </c>
      <c r="AL22" s="56" t="str">
        <f>IF(AND('Mapa final'!$AA$51="Alta",'Mapa final'!$AC$51="Catastrófico"),CONCATENATE("R7C",'Mapa final'!$Q$51),"")</f>
        <v/>
      </c>
      <c r="AM22" s="57" t="str">
        <f>IF(AND('Mapa final'!$AA$52="Alta",'Mapa final'!$AC$52="Catastrófico"),CONCATENATE("R7C",'Mapa final'!$Q$52),"")</f>
        <v/>
      </c>
      <c r="AN22" s="84"/>
      <c r="AO22" s="364"/>
      <c r="AP22" s="365"/>
      <c r="AQ22" s="365"/>
      <c r="AR22" s="365"/>
      <c r="AS22" s="365"/>
      <c r="AT22" s="366"/>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313"/>
      <c r="C23" s="313"/>
      <c r="D23" s="314"/>
      <c r="E23" s="354"/>
      <c r="F23" s="355"/>
      <c r="G23" s="355"/>
      <c r="H23" s="355"/>
      <c r="I23" s="371"/>
      <c r="J23" s="68" t="str">
        <f>IF(AND('Mapa final'!$AA$53="Alta",'Mapa final'!$AC$53="Leve"),CONCATENATE("R8C",'Mapa final'!$Q$53),"")</f>
        <v/>
      </c>
      <c r="K23" s="69" t="str">
        <f>IF(AND('Mapa final'!$AA$54="Alta",'Mapa final'!$AC$54="Leve"),CONCATENATE("R8C",'Mapa final'!$Q$54),"")</f>
        <v/>
      </c>
      <c r="L23" s="69" t="str">
        <f>IF(AND('Mapa final'!$AA$55="Alta",'Mapa final'!$AC$55="Leve"),CONCATENATE("R8C",'Mapa final'!$Q$55),"")</f>
        <v/>
      </c>
      <c r="M23" s="69" t="str">
        <f>IF(AND('Mapa final'!$AA$56="Alta",'Mapa final'!$AC$56="Leve"),CONCATENATE("R8C",'Mapa final'!$Q$56),"")</f>
        <v/>
      </c>
      <c r="N23" s="69" t="str">
        <f>IF(AND('Mapa final'!$AA$57="Alta",'Mapa final'!$AC$57="Leve"),CONCATENATE("R8C",'Mapa final'!$Q$57),"")</f>
        <v/>
      </c>
      <c r="O23" s="70" t="str">
        <f>IF(AND('Mapa final'!$AA$58="Alta",'Mapa final'!$AC$58="Leve"),CONCATENATE("R8C",'Mapa final'!$Q$58),"")</f>
        <v/>
      </c>
      <c r="P23" s="68" t="str">
        <f>IF(AND('Mapa final'!$AA$53="Alta",'Mapa final'!$AC$53="Menor"),CONCATENATE("R8C",'Mapa final'!$Q$53),"")</f>
        <v/>
      </c>
      <c r="Q23" s="69" t="str">
        <f>IF(AND('Mapa final'!$AA$54="Alta",'Mapa final'!$AC$54="Menor"),CONCATENATE("R8C",'Mapa final'!$Q$54),"")</f>
        <v/>
      </c>
      <c r="R23" s="69" t="str">
        <f>IF(AND('Mapa final'!$AA$55="Alta",'Mapa final'!$AC$55="Menor"),CONCATENATE("R8C",'Mapa final'!$Q$55),"")</f>
        <v/>
      </c>
      <c r="S23" s="69" t="str">
        <f>IF(AND('Mapa final'!$AA$56="Alta",'Mapa final'!$AC$56="Menor"),CONCATENATE("R8C",'Mapa final'!$Q$56),"")</f>
        <v/>
      </c>
      <c r="T23" s="69" t="str">
        <f>IF(AND('Mapa final'!$AA$57="Alta",'Mapa final'!$AC$57="Menor"),CONCATENATE("R8C",'Mapa final'!$Q$57),"")</f>
        <v/>
      </c>
      <c r="U23" s="70" t="str">
        <f>IF(AND('Mapa final'!$AA$58="Alta",'Mapa final'!$AC$58="Menor"),CONCATENATE("R8C",'Mapa final'!$Q$58),"")</f>
        <v/>
      </c>
      <c r="V23" s="52" t="str">
        <f>IF(AND('Mapa final'!$AA$53="Alta",'Mapa final'!$AC$53="Moderado"),CONCATENATE("R8C",'Mapa final'!$Q$53),"")</f>
        <v/>
      </c>
      <c r="W23" s="53" t="str">
        <f>IF(AND('Mapa final'!$AA$54="Alta",'Mapa final'!$AC$54="Moderado"),CONCATENATE("R8C",'Mapa final'!$Q$54),"")</f>
        <v/>
      </c>
      <c r="X23" s="58" t="str">
        <f>IF(AND('Mapa final'!$AA$55="Alta",'Mapa final'!$AC$55="Moderado"),CONCATENATE("R8C",'Mapa final'!$Q$55),"")</f>
        <v/>
      </c>
      <c r="Y23" s="58" t="str">
        <f>IF(AND('Mapa final'!$AA$56="Alta",'Mapa final'!$AC$56="Moderado"),CONCATENATE("R8C",'Mapa final'!$Q$56),"")</f>
        <v/>
      </c>
      <c r="Z23" s="58" t="str">
        <f>IF(AND('Mapa final'!$AA$57="Alta",'Mapa final'!$AC$57="Moderado"),CONCATENATE("R8C",'Mapa final'!$Q$57),"")</f>
        <v/>
      </c>
      <c r="AA23" s="54" t="str">
        <f>IF(AND('Mapa final'!$AA$58="Alta",'Mapa final'!$AC$58="Moderado"),CONCATENATE("R8C",'Mapa final'!$Q$58),"")</f>
        <v/>
      </c>
      <c r="AB23" s="52" t="str">
        <f>IF(AND('Mapa final'!$AA$53="Alta",'Mapa final'!$AC$53="Mayor"),CONCATENATE("R8C",'Mapa final'!$Q$53),"")</f>
        <v/>
      </c>
      <c r="AC23" s="53" t="str">
        <f>IF(AND('Mapa final'!$AA$54="Alta",'Mapa final'!$AC$54="Mayor"),CONCATENATE("R8C",'Mapa final'!$Q$54),"")</f>
        <v/>
      </c>
      <c r="AD23" s="58" t="str">
        <f>IF(AND('Mapa final'!$AA$55="Alta",'Mapa final'!$AC$55="Mayor"),CONCATENATE("R8C",'Mapa final'!$Q$55),"")</f>
        <v/>
      </c>
      <c r="AE23" s="58" t="str">
        <f>IF(AND('Mapa final'!$AA$56="Alta",'Mapa final'!$AC$56="Mayor"),CONCATENATE("R8C",'Mapa final'!$Q$56),"")</f>
        <v/>
      </c>
      <c r="AF23" s="58" t="str">
        <f>IF(AND('Mapa final'!$AA$57="Alta",'Mapa final'!$AC$57="Mayor"),CONCATENATE("R8C",'Mapa final'!$Q$57),"")</f>
        <v/>
      </c>
      <c r="AG23" s="54" t="str">
        <f>IF(AND('Mapa final'!$AA$58="Alta",'Mapa final'!$AC$58="Mayor"),CONCATENATE("R8C",'Mapa final'!$Q$58),"")</f>
        <v/>
      </c>
      <c r="AH23" s="55" t="str">
        <f>IF(AND('Mapa final'!$AA$53="Alta",'Mapa final'!$AC$53="Catastrófico"),CONCATENATE("R8C",'Mapa final'!$Q$53),"")</f>
        <v/>
      </c>
      <c r="AI23" s="56" t="str">
        <f>IF(AND('Mapa final'!$AA$54="Alta",'Mapa final'!$AC$54="Catastrófico"),CONCATENATE("R8C",'Mapa final'!$Q$54),"")</f>
        <v/>
      </c>
      <c r="AJ23" s="56" t="str">
        <f>IF(AND('Mapa final'!$AA$55="Alta",'Mapa final'!$AC$55="Catastrófico"),CONCATENATE("R8C",'Mapa final'!$Q$55),"")</f>
        <v/>
      </c>
      <c r="AK23" s="56" t="str">
        <f>IF(AND('Mapa final'!$AA$56="Alta",'Mapa final'!$AC$56="Catastrófico"),CONCATENATE("R8C",'Mapa final'!$Q$56),"")</f>
        <v/>
      </c>
      <c r="AL23" s="56" t="str">
        <f>IF(AND('Mapa final'!$AA$57="Alta",'Mapa final'!$AC$57="Catastrófico"),CONCATENATE("R8C",'Mapa final'!$Q$57),"")</f>
        <v/>
      </c>
      <c r="AM23" s="57" t="str">
        <f>IF(AND('Mapa final'!$AA$58="Alta",'Mapa final'!$AC$58="Catastrófico"),CONCATENATE("R8C",'Mapa final'!$Q$58),"")</f>
        <v/>
      </c>
      <c r="AN23" s="84"/>
      <c r="AO23" s="364"/>
      <c r="AP23" s="365"/>
      <c r="AQ23" s="365"/>
      <c r="AR23" s="365"/>
      <c r="AS23" s="365"/>
      <c r="AT23" s="366"/>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313"/>
      <c r="C24" s="313"/>
      <c r="D24" s="314"/>
      <c r="E24" s="354"/>
      <c r="F24" s="355"/>
      <c r="G24" s="355"/>
      <c r="H24" s="355"/>
      <c r="I24" s="371"/>
      <c r="J24" s="68" t="str">
        <f>IF(AND('Mapa final'!$AA$59="Alta",'Mapa final'!$AC$59="Leve"),CONCATENATE("R9C",'Mapa final'!$Q$59),"")</f>
        <v/>
      </c>
      <c r="K24" s="69" t="str">
        <f>IF(AND('Mapa final'!$AA$60="Alta",'Mapa final'!$AC$60="Leve"),CONCATENATE("R9C",'Mapa final'!$Q$60),"")</f>
        <v/>
      </c>
      <c r="L24" s="69" t="str">
        <f>IF(AND('Mapa final'!$AA$61="Alta",'Mapa final'!$AC$61="Leve"),CONCATENATE("R9C",'Mapa final'!$Q$61),"")</f>
        <v/>
      </c>
      <c r="M24" s="69" t="str">
        <f>IF(AND('Mapa final'!$AA$62="Alta",'Mapa final'!$AC$62="Leve"),CONCATENATE("R9C",'Mapa final'!$Q$62),"")</f>
        <v/>
      </c>
      <c r="N24" s="69" t="str">
        <f>IF(AND('Mapa final'!$AA$63="Alta",'Mapa final'!$AC$63="Leve"),CONCATENATE("R9C",'Mapa final'!$Q$63),"")</f>
        <v/>
      </c>
      <c r="O24" s="70" t="str">
        <f>IF(AND('Mapa final'!$AA$64="Alta",'Mapa final'!$AC$64="Leve"),CONCATENATE("R9C",'Mapa final'!$Q$64),"")</f>
        <v/>
      </c>
      <c r="P24" s="68" t="str">
        <f>IF(AND('Mapa final'!$AA$59="Alta",'Mapa final'!$AC$59="Menor"),CONCATENATE("R9C",'Mapa final'!$Q$59),"")</f>
        <v/>
      </c>
      <c r="Q24" s="69" t="str">
        <f>IF(AND('Mapa final'!$AA$60="Alta",'Mapa final'!$AC$60="Menor"),CONCATENATE("R9C",'Mapa final'!$Q$60),"")</f>
        <v/>
      </c>
      <c r="R24" s="69" t="str">
        <f>IF(AND('Mapa final'!$AA$61="Alta",'Mapa final'!$AC$61="Menor"),CONCATENATE("R9C",'Mapa final'!$Q$61),"")</f>
        <v/>
      </c>
      <c r="S24" s="69" t="str">
        <f>IF(AND('Mapa final'!$AA$62="Alta",'Mapa final'!$AC$62="Menor"),CONCATENATE("R9C",'Mapa final'!$Q$62),"")</f>
        <v/>
      </c>
      <c r="T24" s="69" t="str">
        <f>IF(AND('Mapa final'!$AA$63="Alta",'Mapa final'!$AC$63="Menor"),CONCATENATE("R9C",'Mapa final'!$Q$63),"")</f>
        <v/>
      </c>
      <c r="U24" s="70" t="str">
        <f>IF(AND('Mapa final'!$AA$64="Alta",'Mapa final'!$AC$64="Menor"),CONCATENATE("R9C",'Mapa final'!$Q$64),"")</f>
        <v/>
      </c>
      <c r="V24" s="52" t="str">
        <f>IF(AND('Mapa final'!$AA$59="Alta",'Mapa final'!$AC$59="Moderado"),CONCATENATE("R9C",'Mapa final'!$Q$59),"")</f>
        <v/>
      </c>
      <c r="W24" s="53" t="str">
        <f>IF(AND('Mapa final'!$AA$60="Alta",'Mapa final'!$AC$60="Moderado"),CONCATENATE("R9C",'Mapa final'!$Q$60),"")</f>
        <v/>
      </c>
      <c r="X24" s="58" t="str">
        <f>IF(AND('Mapa final'!$AA$61="Alta",'Mapa final'!$AC$61="Moderado"),CONCATENATE("R9C",'Mapa final'!$Q$61),"")</f>
        <v/>
      </c>
      <c r="Y24" s="58" t="str">
        <f>IF(AND('Mapa final'!$AA$62="Alta",'Mapa final'!$AC$62="Moderado"),CONCATENATE("R9C",'Mapa final'!$Q$62),"")</f>
        <v/>
      </c>
      <c r="Z24" s="58" t="str">
        <f>IF(AND('Mapa final'!$AA$63="Alta",'Mapa final'!$AC$63="Moderado"),CONCATENATE("R9C",'Mapa final'!$Q$63),"")</f>
        <v/>
      </c>
      <c r="AA24" s="54" t="str">
        <f>IF(AND('Mapa final'!$AA$64="Alta",'Mapa final'!$AC$64="Moderado"),CONCATENATE("R9C",'Mapa final'!$Q$64),"")</f>
        <v/>
      </c>
      <c r="AB24" s="52" t="str">
        <f>IF(AND('Mapa final'!$AA$59="Alta",'Mapa final'!$AC$59="Mayor"),CONCATENATE("R9C",'Mapa final'!$Q$59),"")</f>
        <v/>
      </c>
      <c r="AC24" s="53" t="str">
        <f>IF(AND('Mapa final'!$AA$60="Alta",'Mapa final'!$AC$60="Mayor"),CONCATENATE("R9C",'Mapa final'!$Q$60),"")</f>
        <v/>
      </c>
      <c r="AD24" s="58" t="str">
        <f>IF(AND('Mapa final'!$AA$61="Alta",'Mapa final'!$AC$61="Mayor"),CONCATENATE("R9C",'Mapa final'!$Q$61),"")</f>
        <v/>
      </c>
      <c r="AE24" s="58" t="str">
        <f>IF(AND('Mapa final'!$AA$62="Alta",'Mapa final'!$AC$62="Mayor"),CONCATENATE("R9C",'Mapa final'!$Q$62),"")</f>
        <v/>
      </c>
      <c r="AF24" s="58" t="str">
        <f>IF(AND('Mapa final'!$AA$63="Alta",'Mapa final'!$AC$63="Mayor"),CONCATENATE("R9C",'Mapa final'!$Q$63),"")</f>
        <v/>
      </c>
      <c r="AG24" s="54" t="str">
        <f>IF(AND('Mapa final'!$AA$64="Alta",'Mapa final'!$AC$64="Mayor"),CONCATENATE("R9C",'Mapa final'!$Q$64),"")</f>
        <v/>
      </c>
      <c r="AH24" s="55" t="str">
        <f>IF(AND('Mapa final'!$AA$59="Alta",'Mapa final'!$AC$59="Catastrófico"),CONCATENATE("R9C",'Mapa final'!$Q$59),"")</f>
        <v/>
      </c>
      <c r="AI24" s="56" t="str">
        <f>IF(AND('Mapa final'!$AA$60="Alta",'Mapa final'!$AC$60="Catastrófico"),CONCATENATE("R9C",'Mapa final'!$Q$60),"")</f>
        <v/>
      </c>
      <c r="AJ24" s="56" t="str">
        <f>IF(AND('Mapa final'!$AA$61="Alta",'Mapa final'!$AC$61="Catastrófico"),CONCATENATE("R9C",'Mapa final'!$Q$61),"")</f>
        <v/>
      </c>
      <c r="AK24" s="56" t="str">
        <f>IF(AND('Mapa final'!$AA$62="Alta",'Mapa final'!$AC$62="Catastrófico"),CONCATENATE("R9C",'Mapa final'!$Q$62),"")</f>
        <v/>
      </c>
      <c r="AL24" s="56" t="str">
        <f>IF(AND('Mapa final'!$AA$63="Alta",'Mapa final'!$AC$63="Catastrófico"),CONCATENATE("R9C",'Mapa final'!$Q$63),"")</f>
        <v/>
      </c>
      <c r="AM24" s="57" t="str">
        <f>IF(AND('Mapa final'!$AA$64="Alta",'Mapa final'!$AC$64="Catastrófico"),CONCATENATE("R9C",'Mapa final'!$Q$64),"")</f>
        <v/>
      </c>
      <c r="AN24" s="84"/>
      <c r="AO24" s="364"/>
      <c r="AP24" s="365"/>
      <c r="AQ24" s="365"/>
      <c r="AR24" s="365"/>
      <c r="AS24" s="365"/>
      <c r="AT24" s="366"/>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313"/>
      <c r="C25" s="313"/>
      <c r="D25" s="314"/>
      <c r="E25" s="357"/>
      <c r="F25" s="358"/>
      <c r="G25" s="358"/>
      <c r="H25" s="358"/>
      <c r="I25" s="358"/>
      <c r="J25" s="71" t="str">
        <f>IF(AND('Mapa final'!$AA$65="Alta",'Mapa final'!$AC$65="Leve"),CONCATENATE("R10C",'Mapa final'!$Q$65),"")</f>
        <v/>
      </c>
      <c r="K25" s="72" t="str">
        <f>IF(AND('Mapa final'!$AA$66="Alta",'Mapa final'!$AC$66="Leve"),CONCATENATE("R10C",'Mapa final'!$Q$66),"")</f>
        <v/>
      </c>
      <c r="L25" s="72" t="str">
        <f>IF(AND('Mapa final'!$AA$67="Alta",'Mapa final'!$AC$67="Leve"),CONCATENATE("R10C",'Mapa final'!$Q$67),"")</f>
        <v/>
      </c>
      <c r="M25" s="72" t="str">
        <f>IF(AND('Mapa final'!$AA$68="Alta",'Mapa final'!$AC$68="Leve"),CONCATENATE("R10C",'Mapa final'!$Q$68),"")</f>
        <v/>
      </c>
      <c r="N25" s="72" t="str">
        <f>IF(AND('Mapa final'!$AA$69="Alta",'Mapa final'!$AC$69="Leve"),CONCATENATE("R10C",'Mapa final'!$Q$69),"")</f>
        <v/>
      </c>
      <c r="O25" s="73" t="str">
        <f>IF(AND('Mapa final'!$AA$70="Alta",'Mapa final'!$AC$70="Leve"),CONCATENATE("R10C",'Mapa final'!$Q$70),"")</f>
        <v/>
      </c>
      <c r="P25" s="71" t="str">
        <f>IF(AND('Mapa final'!$AA$65="Alta",'Mapa final'!$AC$65="Menor"),CONCATENATE("R10C",'Mapa final'!$Q$65),"")</f>
        <v/>
      </c>
      <c r="Q25" s="72" t="str">
        <f>IF(AND('Mapa final'!$AA$66="Alta",'Mapa final'!$AC$66="Menor"),CONCATENATE("R10C",'Mapa final'!$Q$66),"")</f>
        <v/>
      </c>
      <c r="R25" s="72" t="str">
        <f>IF(AND('Mapa final'!$AA$67="Alta",'Mapa final'!$AC$67="Menor"),CONCATENATE("R10C",'Mapa final'!$Q$67),"")</f>
        <v/>
      </c>
      <c r="S25" s="72" t="str">
        <f>IF(AND('Mapa final'!$AA$68="Alta",'Mapa final'!$AC$68="Menor"),CONCATENATE("R10C",'Mapa final'!$Q$68),"")</f>
        <v/>
      </c>
      <c r="T25" s="72" t="str">
        <f>IF(AND('Mapa final'!$AA$69="Alta",'Mapa final'!$AC$69="Menor"),CONCATENATE("R10C",'Mapa final'!$Q$69),"")</f>
        <v/>
      </c>
      <c r="U25" s="73" t="str">
        <f>IF(AND('Mapa final'!$AA$70="Alta",'Mapa final'!$AC$70="Menor"),CONCATENATE("R10C",'Mapa final'!$Q$70),"")</f>
        <v/>
      </c>
      <c r="V25" s="59" t="str">
        <f>IF(AND('Mapa final'!$AA$65="Alta",'Mapa final'!$AC$65="Moderado"),CONCATENATE("R10C",'Mapa final'!$Q$65),"")</f>
        <v/>
      </c>
      <c r="W25" s="60" t="str">
        <f>IF(AND('Mapa final'!$AA$66="Alta",'Mapa final'!$AC$66="Moderado"),CONCATENATE("R10C",'Mapa final'!$Q$66),"")</f>
        <v/>
      </c>
      <c r="X25" s="60" t="str">
        <f>IF(AND('Mapa final'!$AA$67="Alta",'Mapa final'!$AC$67="Moderado"),CONCATENATE("R10C",'Mapa final'!$Q$67),"")</f>
        <v/>
      </c>
      <c r="Y25" s="60" t="str">
        <f>IF(AND('Mapa final'!$AA$68="Alta",'Mapa final'!$AC$68="Moderado"),CONCATENATE("R10C",'Mapa final'!$Q$68),"")</f>
        <v/>
      </c>
      <c r="Z25" s="60" t="str">
        <f>IF(AND('Mapa final'!$AA$69="Alta",'Mapa final'!$AC$69="Moderado"),CONCATENATE("R10C",'Mapa final'!$Q$69),"")</f>
        <v/>
      </c>
      <c r="AA25" s="61" t="str">
        <f>IF(AND('Mapa final'!$AA$70="Alta",'Mapa final'!$AC$70="Moderado"),CONCATENATE("R10C",'Mapa final'!$Q$70),"")</f>
        <v/>
      </c>
      <c r="AB25" s="59" t="str">
        <f>IF(AND('Mapa final'!$AA$65="Alta",'Mapa final'!$AC$65="Mayor"),CONCATENATE("R10C",'Mapa final'!$Q$65),"")</f>
        <v/>
      </c>
      <c r="AC25" s="60" t="str">
        <f>IF(AND('Mapa final'!$AA$66="Alta",'Mapa final'!$AC$66="Mayor"),CONCATENATE("R10C",'Mapa final'!$Q$66),"")</f>
        <v/>
      </c>
      <c r="AD25" s="60" t="str">
        <f>IF(AND('Mapa final'!$AA$67="Alta",'Mapa final'!$AC$67="Mayor"),CONCATENATE("R10C",'Mapa final'!$Q$67),"")</f>
        <v/>
      </c>
      <c r="AE25" s="60" t="str">
        <f>IF(AND('Mapa final'!$AA$68="Alta",'Mapa final'!$AC$68="Mayor"),CONCATENATE("R10C",'Mapa final'!$Q$68),"")</f>
        <v/>
      </c>
      <c r="AF25" s="60" t="str">
        <f>IF(AND('Mapa final'!$AA$69="Alta",'Mapa final'!$AC$69="Mayor"),CONCATENATE("R10C",'Mapa final'!$Q$69),"")</f>
        <v/>
      </c>
      <c r="AG25" s="61" t="str">
        <f>IF(AND('Mapa final'!$AA$70="Alta",'Mapa final'!$AC$70="Mayor"),CONCATENATE("R10C",'Mapa final'!$Q$70),"")</f>
        <v/>
      </c>
      <c r="AH25" s="62" t="str">
        <f>IF(AND('Mapa final'!$AA$65="Alta",'Mapa final'!$AC$65="Catastrófico"),CONCATENATE("R10C",'Mapa final'!$Q$65),"")</f>
        <v/>
      </c>
      <c r="AI25" s="63" t="str">
        <f>IF(AND('Mapa final'!$AA$66="Alta",'Mapa final'!$AC$66="Catastrófico"),CONCATENATE("R10C",'Mapa final'!$Q$66),"")</f>
        <v/>
      </c>
      <c r="AJ25" s="63" t="str">
        <f>IF(AND('Mapa final'!$AA$67="Alta",'Mapa final'!$AC$67="Catastrófico"),CONCATENATE("R10C",'Mapa final'!$Q$67),"")</f>
        <v/>
      </c>
      <c r="AK25" s="63" t="str">
        <f>IF(AND('Mapa final'!$AA$68="Alta",'Mapa final'!$AC$68="Catastrófico"),CONCATENATE("R10C",'Mapa final'!$Q$68),"")</f>
        <v/>
      </c>
      <c r="AL25" s="63" t="str">
        <f>IF(AND('Mapa final'!$AA$69="Alta",'Mapa final'!$AC$69="Catastrófico"),CONCATENATE("R10C",'Mapa final'!$Q$69),"")</f>
        <v/>
      </c>
      <c r="AM25" s="64" t="str">
        <f>IF(AND('Mapa final'!$AA$70="Alta",'Mapa final'!$AC$70="Catastrófico"),CONCATENATE("R10C",'Mapa final'!$Q$70),"")</f>
        <v/>
      </c>
      <c r="AN25" s="84"/>
      <c r="AO25" s="367"/>
      <c r="AP25" s="368"/>
      <c r="AQ25" s="368"/>
      <c r="AR25" s="368"/>
      <c r="AS25" s="368"/>
      <c r="AT25" s="369"/>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313"/>
      <c r="C26" s="313"/>
      <c r="D26" s="314"/>
      <c r="E26" s="351" t="s">
        <v>109</v>
      </c>
      <c r="F26" s="352"/>
      <c r="G26" s="352"/>
      <c r="H26" s="352"/>
      <c r="I26" s="353"/>
      <c r="J26" s="65" t="str">
        <f>IF(AND('Mapa final'!$AA$11="Media",'Mapa final'!$AC$11="Leve"),CONCATENATE("R1C",'Mapa final'!$Q$11),"")</f>
        <v/>
      </c>
      <c r="K26" s="66" t="str">
        <f>IF(AND('Mapa final'!$AA$12="Media",'Mapa final'!$AC$12="Leve"),CONCATENATE("R1C",'Mapa final'!$Q$12),"")</f>
        <v/>
      </c>
      <c r="L26" s="66" t="str">
        <f>IF(AND('Mapa final'!$AA$13="Media",'Mapa final'!$AC$13="Leve"),CONCATENATE("R1C",'Mapa final'!$Q$13),"")</f>
        <v/>
      </c>
      <c r="M26" s="66" t="str">
        <f>IF(AND('Mapa final'!$AA$14="Media",'Mapa final'!$AC$14="Leve"),CONCATENATE("R1C",'Mapa final'!$Q$14),"")</f>
        <v/>
      </c>
      <c r="N26" s="66" t="str">
        <f>IF(AND('Mapa final'!$AA$15="Media",'Mapa final'!$AC$15="Leve"),CONCATENATE("R1C",'Mapa final'!$Q$15),"")</f>
        <v/>
      </c>
      <c r="O26" s="67" t="str">
        <f>IF(AND('Mapa final'!$AA$16="Media",'Mapa final'!$AC$16="Leve"),CONCATENATE("R1C",'Mapa final'!$Q$16),"")</f>
        <v/>
      </c>
      <c r="P26" s="65" t="str">
        <f>IF(AND('Mapa final'!$AA$11="Media",'Mapa final'!$AC$11="Menor"),CONCATENATE("R1C",'Mapa final'!$Q$11),"")</f>
        <v/>
      </c>
      <c r="Q26" s="66" t="str">
        <f>IF(AND('Mapa final'!$AA$12="Media",'Mapa final'!$AC$12="Menor"),CONCATENATE("R1C",'Mapa final'!$Q$12),"")</f>
        <v/>
      </c>
      <c r="R26" s="66" t="str">
        <f>IF(AND('Mapa final'!$AA$13="Media",'Mapa final'!$AC$13="Menor"),CONCATENATE("R1C",'Mapa final'!$Q$13),"")</f>
        <v/>
      </c>
      <c r="S26" s="66" t="str">
        <f>IF(AND('Mapa final'!$AA$14="Media",'Mapa final'!$AC$14="Menor"),CONCATENATE("R1C",'Mapa final'!$Q$14),"")</f>
        <v/>
      </c>
      <c r="T26" s="66" t="str">
        <f>IF(AND('Mapa final'!$AA$15="Media",'Mapa final'!$AC$15="Menor"),CONCATENATE("R1C",'Mapa final'!$Q$15),"")</f>
        <v/>
      </c>
      <c r="U26" s="67" t="str">
        <f>IF(AND('Mapa final'!$AA$16="Media",'Mapa final'!$AC$16="Menor"),CONCATENATE("R1C",'Mapa final'!$Q$16),"")</f>
        <v/>
      </c>
      <c r="V26" s="65" t="str">
        <f>IF(AND('Mapa final'!$AA$11="Media",'Mapa final'!$AC$11="Moderado"),CONCATENATE("R1C",'Mapa final'!$Q$11),"")</f>
        <v/>
      </c>
      <c r="W26" s="66" t="str">
        <f>IF(AND('Mapa final'!$AA$12="Media",'Mapa final'!$AC$12="Moderado"),CONCATENATE("R1C",'Mapa final'!$Q$12),"")</f>
        <v/>
      </c>
      <c r="X26" s="66" t="str">
        <f>IF(AND('Mapa final'!$AA$13="Media",'Mapa final'!$AC$13="Moderado"),CONCATENATE("R1C",'Mapa final'!$Q$13),"")</f>
        <v/>
      </c>
      <c r="Y26" s="66" t="str">
        <f>IF(AND('Mapa final'!$AA$14="Media",'Mapa final'!$AC$14="Moderado"),CONCATENATE("R1C",'Mapa final'!$Q$14),"")</f>
        <v/>
      </c>
      <c r="Z26" s="66" t="str">
        <f>IF(AND('Mapa final'!$AA$15="Media",'Mapa final'!$AC$15="Moderado"),CONCATENATE("R1C",'Mapa final'!$Q$15),"")</f>
        <v/>
      </c>
      <c r="AA26" s="67" t="str">
        <f>IF(AND('Mapa final'!$AA$16="Media",'Mapa final'!$AC$16="Moderado"),CONCATENATE("R1C",'Mapa final'!$Q$16),"")</f>
        <v/>
      </c>
      <c r="AB26" s="46" t="str">
        <f>IF(AND('Mapa final'!$AA$11="Media",'Mapa final'!$AC$11="Mayor"),CONCATENATE("R1C",'Mapa final'!$Q$11),"")</f>
        <v/>
      </c>
      <c r="AC26" s="47" t="str">
        <f>IF(AND('Mapa final'!$AA$12="Media",'Mapa final'!$AC$12="Mayor"),CONCATENATE("R1C",'Mapa final'!$Q$12),"")</f>
        <v/>
      </c>
      <c r="AD26" s="47" t="str">
        <f>IF(AND('Mapa final'!$AA$13="Media",'Mapa final'!$AC$13="Mayor"),CONCATENATE("R1C",'Mapa final'!$Q$13),"")</f>
        <v/>
      </c>
      <c r="AE26" s="47" t="str">
        <f>IF(AND('Mapa final'!$AA$14="Media",'Mapa final'!$AC$14="Mayor"),CONCATENATE("R1C",'Mapa final'!$Q$14),"")</f>
        <v/>
      </c>
      <c r="AF26" s="47" t="str">
        <f>IF(AND('Mapa final'!$AA$15="Media",'Mapa final'!$AC$15="Mayor"),CONCATENATE("R1C",'Mapa final'!$Q$15),"")</f>
        <v/>
      </c>
      <c r="AG26" s="48" t="str">
        <f>IF(AND('Mapa final'!$AA$16="Media",'Mapa final'!$AC$16="Mayor"),CONCATENATE("R1C",'Mapa final'!$Q$16),"")</f>
        <v/>
      </c>
      <c r="AH26" s="49" t="str">
        <f>IF(AND('Mapa final'!$AA$11="Media",'Mapa final'!$AC$11="Catastrófico"),CONCATENATE("R1C",'Mapa final'!$Q$11),"")</f>
        <v/>
      </c>
      <c r="AI26" s="50" t="str">
        <f>IF(AND('Mapa final'!$AA$12="Media",'Mapa final'!$AC$12="Catastrófico"),CONCATENATE("R1C",'Mapa final'!$Q$12),"")</f>
        <v/>
      </c>
      <c r="AJ26" s="50" t="str">
        <f>IF(AND('Mapa final'!$AA$13="Media",'Mapa final'!$AC$13="Catastrófico"),CONCATENATE("R1C",'Mapa final'!$Q$13),"")</f>
        <v/>
      </c>
      <c r="AK26" s="50" t="str">
        <f>IF(AND('Mapa final'!$AA$14="Media",'Mapa final'!$AC$14="Catastrófico"),CONCATENATE("R1C",'Mapa final'!$Q$14),"")</f>
        <v/>
      </c>
      <c r="AL26" s="50" t="str">
        <f>IF(AND('Mapa final'!$AA$15="Media",'Mapa final'!$AC$15="Catastrófico"),CONCATENATE("R1C",'Mapa final'!$Q$15),"")</f>
        <v/>
      </c>
      <c r="AM26" s="51" t="str">
        <f>IF(AND('Mapa final'!$AA$16="Media",'Mapa final'!$AC$16="Catastrófico"),CONCATENATE("R1C",'Mapa final'!$Q$16),"")</f>
        <v/>
      </c>
      <c r="AN26" s="84"/>
      <c r="AO26" s="392" t="s">
        <v>78</v>
      </c>
      <c r="AP26" s="393"/>
      <c r="AQ26" s="393"/>
      <c r="AR26" s="393"/>
      <c r="AS26" s="393"/>
      <c r="AT26" s="39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313"/>
      <c r="C27" s="313"/>
      <c r="D27" s="314"/>
      <c r="E27" s="370"/>
      <c r="F27" s="371"/>
      <c r="G27" s="371"/>
      <c r="H27" s="371"/>
      <c r="I27" s="356"/>
      <c r="J27" s="68" t="str">
        <f>IF(AND('Mapa final'!$AA$17="Media",'Mapa final'!$AC$17="Leve"),CONCATENATE("R2C",'Mapa final'!$Q$17),"")</f>
        <v/>
      </c>
      <c r="K27" s="69" t="str">
        <f>IF(AND('Mapa final'!$AA$18="Media",'Mapa final'!$AC$18="Leve"),CONCATENATE("R2C",'Mapa final'!$Q$18),"")</f>
        <v/>
      </c>
      <c r="L27" s="69" t="str">
        <f>IF(AND('Mapa final'!$AA$19="Media",'Mapa final'!$AC$19="Leve"),CONCATENATE("R2C",'Mapa final'!$Q$19),"")</f>
        <v/>
      </c>
      <c r="M27" s="69" t="str">
        <f>IF(AND('Mapa final'!$AA$20="Media",'Mapa final'!$AC$20="Leve"),CONCATENATE("R2C",'Mapa final'!$Q$20),"")</f>
        <v/>
      </c>
      <c r="N27" s="69" t="str">
        <f>IF(AND('Mapa final'!$AA$21="Media",'Mapa final'!$AC$21="Leve"),CONCATENATE("R2C",'Mapa final'!$Q$21),"")</f>
        <v/>
      </c>
      <c r="O27" s="70" t="str">
        <f>IF(AND('Mapa final'!$AA$22="Media",'Mapa final'!$AC$22="Leve"),CONCATENATE("R2C",'Mapa final'!$Q$22),"")</f>
        <v/>
      </c>
      <c r="P27" s="68" t="str">
        <f>IF(AND('Mapa final'!$AA$17="Media",'Mapa final'!$AC$17="Menor"),CONCATENATE("R2C",'Mapa final'!$Q$17),"")</f>
        <v/>
      </c>
      <c r="Q27" s="69" t="str">
        <f>IF(AND('Mapa final'!$AA$18="Media",'Mapa final'!$AC$18="Menor"),CONCATENATE("R2C",'Mapa final'!$Q$18),"")</f>
        <v/>
      </c>
      <c r="R27" s="69" t="str">
        <f>IF(AND('Mapa final'!$AA$19="Media",'Mapa final'!$AC$19="Menor"),CONCATENATE("R2C",'Mapa final'!$Q$19),"")</f>
        <v/>
      </c>
      <c r="S27" s="69" t="str">
        <f>IF(AND('Mapa final'!$AA$20="Media",'Mapa final'!$AC$20="Menor"),CONCATENATE("R2C",'Mapa final'!$Q$20),"")</f>
        <v/>
      </c>
      <c r="T27" s="69" t="str">
        <f>IF(AND('Mapa final'!$AA$21="Media",'Mapa final'!$AC$21="Menor"),CONCATENATE("R2C",'Mapa final'!$Q$21),"")</f>
        <v/>
      </c>
      <c r="U27" s="70" t="str">
        <f>IF(AND('Mapa final'!$AA$22="Media",'Mapa final'!$AC$22="Menor"),CONCATENATE("R2C",'Mapa final'!$Q$22),"")</f>
        <v/>
      </c>
      <c r="V27" s="68" t="str">
        <f>IF(AND('Mapa final'!$AA$17="Media",'Mapa final'!$AC$17="Moderado"),CONCATENATE("R2C",'Mapa final'!$Q$17),"")</f>
        <v/>
      </c>
      <c r="W27" s="69" t="str">
        <f>IF(AND('Mapa final'!$AA$18="Media",'Mapa final'!$AC$18="Moderado"),CONCATENATE("R2C",'Mapa final'!$Q$18),"")</f>
        <v/>
      </c>
      <c r="X27" s="69" t="str">
        <f>IF(AND('Mapa final'!$AA$19="Media",'Mapa final'!$AC$19="Moderado"),CONCATENATE("R2C",'Mapa final'!$Q$19),"")</f>
        <v/>
      </c>
      <c r="Y27" s="69" t="str">
        <f>IF(AND('Mapa final'!$AA$20="Media",'Mapa final'!$AC$20="Moderado"),CONCATENATE("R2C",'Mapa final'!$Q$20),"")</f>
        <v/>
      </c>
      <c r="Z27" s="69" t="str">
        <f>IF(AND('Mapa final'!$AA$21="Media",'Mapa final'!$AC$21="Moderado"),CONCATENATE("R2C",'Mapa final'!$Q$21),"")</f>
        <v/>
      </c>
      <c r="AA27" s="70" t="str">
        <f>IF(AND('Mapa final'!$AA$22="Media",'Mapa final'!$AC$22="Moderado"),CONCATENATE("R2C",'Mapa final'!$Q$22),"")</f>
        <v/>
      </c>
      <c r="AB27" s="52" t="str">
        <f>IF(AND('Mapa final'!$AA$17="Media",'Mapa final'!$AC$17="Mayor"),CONCATENATE("R2C",'Mapa final'!$Q$17),"")</f>
        <v/>
      </c>
      <c r="AC27" s="53" t="str">
        <f>IF(AND('Mapa final'!$AA$18="Media",'Mapa final'!$AC$18="Mayor"),CONCATENATE("R2C",'Mapa final'!$Q$18),"")</f>
        <v/>
      </c>
      <c r="AD27" s="53" t="str">
        <f>IF(AND('Mapa final'!$AA$19="Media",'Mapa final'!$AC$19="Mayor"),CONCATENATE("R2C",'Mapa final'!$Q$19),"")</f>
        <v/>
      </c>
      <c r="AE27" s="53" t="str">
        <f>IF(AND('Mapa final'!$AA$20="Media",'Mapa final'!$AC$20="Mayor"),CONCATENATE("R2C",'Mapa final'!$Q$20),"")</f>
        <v/>
      </c>
      <c r="AF27" s="53" t="str">
        <f>IF(AND('Mapa final'!$AA$21="Media",'Mapa final'!$AC$21="Mayor"),CONCATENATE("R2C",'Mapa final'!$Q$21),"")</f>
        <v/>
      </c>
      <c r="AG27" s="54" t="str">
        <f>IF(AND('Mapa final'!$AA$22="Media",'Mapa final'!$AC$22="Mayor"),CONCATENATE("R2C",'Mapa final'!$Q$22),"")</f>
        <v/>
      </c>
      <c r="AH27" s="55" t="str">
        <f>IF(AND('Mapa final'!$AA$17="Media",'Mapa final'!$AC$17="Catastrófico"),CONCATENATE("R2C",'Mapa final'!$Q$17),"")</f>
        <v/>
      </c>
      <c r="AI27" s="56" t="str">
        <f>IF(AND('Mapa final'!$AA$18="Media",'Mapa final'!$AC$18="Catastrófico"),CONCATENATE("R2C",'Mapa final'!$Q$18),"")</f>
        <v/>
      </c>
      <c r="AJ27" s="56" t="str">
        <f>IF(AND('Mapa final'!$AA$19="Media",'Mapa final'!$AC$19="Catastrófico"),CONCATENATE("R2C",'Mapa final'!$Q$19),"")</f>
        <v/>
      </c>
      <c r="AK27" s="56" t="str">
        <f>IF(AND('Mapa final'!$AA$20="Media",'Mapa final'!$AC$20="Catastrófico"),CONCATENATE("R2C",'Mapa final'!$Q$20),"")</f>
        <v/>
      </c>
      <c r="AL27" s="56" t="str">
        <f>IF(AND('Mapa final'!$AA$21="Media",'Mapa final'!$AC$21="Catastrófico"),CONCATENATE("R2C",'Mapa final'!$Q$21),"")</f>
        <v/>
      </c>
      <c r="AM27" s="57" t="str">
        <f>IF(AND('Mapa final'!$AA$22="Media",'Mapa final'!$AC$22="Catastrófico"),CONCATENATE("R2C",'Mapa final'!$Q$22),"")</f>
        <v/>
      </c>
      <c r="AN27" s="84"/>
      <c r="AO27" s="395"/>
      <c r="AP27" s="396"/>
      <c r="AQ27" s="396"/>
      <c r="AR27" s="396"/>
      <c r="AS27" s="396"/>
      <c r="AT27" s="397"/>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313"/>
      <c r="C28" s="313"/>
      <c r="D28" s="314"/>
      <c r="E28" s="354"/>
      <c r="F28" s="355"/>
      <c r="G28" s="355"/>
      <c r="H28" s="355"/>
      <c r="I28" s="356"/>
      <c r="J28" s="68" t="str">
        <f>IF(AND('Mapa final'!$AA$23="Media",'Mapa final'!$AC$23="Leve"),CONCATENATE("R3C",'Mapa final'!$Q$23),"")</f>
        <v/>
      </c>
      <c r="K28" s="69" t="str">
        <f>IF(AND('Mapa final'!$AA$24="Media",'Mapa final'!$AC$24="Leve"),CONCATENATE("R3C",'Mapa final'!$Q$24),"")</f>
        <v/>
      </c>
      <c r="L28" s="69" t="str">
        <f>IF(AND('Mapa final'!$AA$25="Media",'Mapa final'!$AC$25="Leve"),CONCATENATE("R3C",'Mapa final'!$Q$25),"")</f>
        <v/>
      </c>
      <c r="M28" s="69" t="str">
        <f>IF(AND('Mapa final'!$AA$26="Media",'Mapa final'!$AC$26="Leve"),CONCATENATE("R3C",'Mapa final'!$Q$26),"")</f>
        <v/>
      </c>
      <c r="N28" s="69" t="str">
        <f>IF(AND('Mapa final'!$AA$27="Media",'Mapa final'!$AC$27="Leve"),CONCATENATE("R3C",'Mapa final'!$Q$27),"")</f>
        <v/>
      </c>
      <c r="O28" s="70" t="str">
        <f>IF(AND('Mapa final'!$AA$28="Media",'Mapa final'!$AC$28="Leve"),CONCATENATE("R3C",'Mapa final'!$Q$28),"")</f>
        <v/>
      </c>
      <c r="P28" s="68" t="str">
        <f>IF(AND('Mapa final'!$AA$23="Media",'Mapa final'!$AC$23="Menor"),CONCATENATE("R3C",'Mapa final'!$Q$23),"")</f>
        <v/>
      </c>
      <c r="Q28" s="69" t="str">
        <f>IF(AND('Mapa final'!$AA$24="Media",'Mapa final'!$AC$24="Menor"),CONCATENATE("R3C",'Mapa final'!$Q$24),"")</f>
        <v/>
      </c>
      <c r="R28" s="69" t="str">
        <f>IF(AND('Mapa final'!$AA$25="Media",'Mapa final'!$AC$25="Menor"),CONCATENATE("R3C",'Mapa final'!$Q$25),"")</f>
        <v/>
      </c>
      <c r="S28" s="69" t="str">
        <f>IF(AND('Mapa final'!$AA$26="Media",'Mapa final'!$AC$26="Menor"),CONCATENATE("R3C",'Mapa final'!$Q$26),"")</f>
        <v/>
      </c>
      <c r="T28" s="69" t="str">
        <f>IF(AND('Mapa final'!$AA$27="Media",'Mapa final'!$AC$27="Menor"),CONCATENATE("R3C",'Mapa final'!$Q$27),"")</f>
        <v/>
      </c>
      <c r="U28" s="70" t="str">
        <f>IF(AND('Mapa final'!$AA$28="Media",'Mapa final'!$AC$28="Menor"),CONCATENATE("R3C",'Mapa final'!$Q$28),"")</f>
        <v/>
      </c>
      <c r="V28" s="68" t="str">
        <f>IF(AND('Mapa final'!$AA$23="Media",'Mapa final'!$AC$23="Moderado"),CONCATENATE("R3C",'Mapa final'!$Q$23),"")</f>
        <v/>
      </c>
      <c r="W28" s="69" t="str">
        <f>IF(AND('Mapa final'!$AA$24="Media",'Mapa final'!$AC$24="Moderado"),CONCATENATE("R3C",'Mapa final'!$Q$24),"")</f>
        <v/>
      </c>
      <c r="X28" s="69" t="str">
        <f>IF(AND('Mapa final'!$AA$25="Media",'Mapa final'!$AC$25="Moderado"),CONCATENATE("R3C",'Mapa final'!$Q$25),"")</f>
        <v/>
      </c>
      <c r="Y28" s="69" t="str">
        <f>IF(AND('Mapa final'!$AA$26="Media",'Mapa final'!$AC$26="Moderado"),CONCATENATE("R3C",'Mapa final'!$Q$26),"")</f>
        <v/>
      </c>
      <c r="Z28" s="69" t="str">
        <f>IF(AND('Mapa final'!$AA$27="Media",'Mapa final'!$AC$27="Moderado"),CONCATENATE("R3C",'Mapa final'!$Q$27),"")</f>
        <v/>
      </c>
      <c r="AA28" s="70" t="str">
        <f>IF(AND('Mapa final'!$AA$28="Media",'Mapa final'!$AC$28="Moderado"),CONCATENATE("R3C",'Mapa final'!$Q$28),"")</f>
        <v/>
      </c>
      <c r="AB28" s="52" t="str">
        <f>IF(AND('Mapa final'!$AA$23="Media",'Mapa final'!$AC$23="Mayor"),CONCATENATE("R3C",'Mapa final'!$Q$23),"")</f>
        <v/>
      </c>
      <c r="AC28" s="53" t="str">
        <f>IF(AND('Mapa final'!$AA$24="Media",'Mapa final'!$AC$24="Mayor"),CONCATENATE("R3C",'Mapa final'!$Q$24),"")</f>
        <v/>
      </c>
      <c r="AD28" s="53" t="str">
        <f>IF(AND('Mapa final'!$AA$25="Media",'Mapa final'!$AC$25="Mayor"),CONCATENATE("R3C",'Mapa final'!$Q$25),"")</f>
        <v/>
      </c>
      <c r="AE28" s="53" t="str">
        <f>IF(AND('Mapa final'!$AA$26="Media",'Mapa final'!$AC$26="Mayor"),CONCATENATE("R3C",'Mapa final'!$Q$26),"")</f>
        <v/>
      </c>
      <c r="AF28" s="53" t="str">
        <f>IF(AND('Mapa final'!$AA$27="Media",'Mapa final'!$AC$27="Mayor"),CONCATENATE("R3C",'Mapa final'!$Q$27),"")</f>
        <v/>
      </c>
      <c r="AG28" s="54" t="str">
        <f>IF(AND('Mapa final'!$AA$28="Media",'Mapa final'!$AC$28="Mayor"),CONCATENATE("R3C",'Mapa final'!$Q$28),"")</f>
        <v/>
      </c>
      <c r="AH28" s="55" t="str">
        <f>IF(AND('Mapa final'!$AA$23="Media",'Mapa final'!$AC$23="Catastrófico"),CONCATENATE("R3C",'Mapa final'!$Q$23),"")</f>
        <v/>
      </c>
      <c r="AI28" s="56" t="str">
        <f>IF(AND('Mapa final'!$AA$24="Media",'Mapa final'!$AC$24="Catastrófico"),CONCATENATE("R3C",'Mapa final'!$Q$24),"")</f>
        <v/>
      </c>
      <c r="AJ28" s="56" t="str">
        <f>IF(AND('Mapa final'!$AA$25="Media",'Mapa final'!$AC$25="Catastrófico"),CONCATENATE("R3C",'Mapa final'!$Q$25),"")</f>
        <v/>
      </c>
      <c r="AK28" s="56" t="str">
        <f>IF(AND('Mapa final'!$AA$26="Media",'Mapa final'!$AC$26="Catastrófico"),CONCATENATE("R3C",'Mapa final'!$Q$26),"")</f>
        <v/>
      </c>
      <c r="AL28" s="56" t="str">
        <f>IF(AND('Mapa final'!$AA$27="Media",'Mapa final'!$AC$27="Catastrófico"),CONCATENATE("R3C",'Mapa final'!$Q$27),"")</f>
        <v/>
      </c>
      <c r="AM28" s="57" t="str">
        <f>IF(AND('Mapa final'!$AA$28="Media",'Mapa final'!$AC$28="Catastrófico"),CONCATENATE("R3C",'Mapa final'!$Q$28),"")</f>
        <v/>
      </c>
      <c r="AN28" s="84"/>
      <c r="AO28" s="395"/>
      <c r="AP28" s="396"/>
      <c r="AQ28" s="396"/>
      <c r="AR28" s="396"/>
      <c r="AS28" s="396"/>
      <c r="AT28" s="397"/>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313"/>
      <c r="C29" s="313"/>
      <c r="D29" s="314"/>
      <c r="E29" s="354"/>
      <c r="F29" s="355"/>
      <c r="G29" s="355"/>
      <c r="H29" s="355"/>
      <c r="I29" s="356"/>
      <c r="J29" s="68" t="str">
        <f>IF(AND('Mapa final'!$AA$29="Media",'Mapa final'!$AC$29="Leve"),CONCATENATE("R4C",'Mapa final'!$Q$29),"")</f>
        <v/>
      </c>
      <c r="K29" s="69" t="str">
        <f>IF(AND('Mapa final'!$AA$30="Media",'Mapa final'!$AC$30="Leve"),CONCATENATE("R4C",'Mapa final'!$Q$30),"")</f>
        <v/>
      </c>
      <c r="L29" s="69" t="str">
        <f>IF(AND('Mapa final'!$AA$31="Media",'Mapa final'!$AC$31="Leve"),CONCATENATE("R4C",'Mapa final'!$Q$31),"")</f>
        <v/>
      </c>
      <c r="M29" s="69" t="str">
        <f>IF(AND('Mapa final'!$AA$32="Media",'Mapa final'!$AC$32="Leve"),CONCATENATE("R4C",'Mapa final'!$Q$32),"")</f>
        <v/>
      </c>
      <c r="N29" s="69" t="str">
        <f>IF(AND('Mapa final'!$AA$33="Media",'Mapa final'!$AC$33="Leve"),CONCATENATE("R4C",'Mapa final'!$Q$33),"")</f>
        <v/>
      </c>
      <c r="O29" s="70" t="str">
        <f>IF(AND('Mapa final'!$AA$34="Media",'Mapa final'!$AC$34="Leve"),CONCATENATE("R4C",'Mapa final'!$Q$34),"")</f>
        <v/>
      </c>
      <c r="P29" s="68" t="str">
        <f>IF(AND('Mapa final'!$AA$29="Media",'Mapa final'!$AC$29="Menor"),CONCATENATE("R4C",'Mapa final'!$Q$29),"")</f>
        <v/>
      </c>
      <c r="Q29" s="69" t="str">
        <f>IF(AND('Mapa final'!$AA$30="Media",'Mapa final'!$AC$30="Menor"),CONCATENATE("R4C",'Mapa final'!$Q$30),"")</f>
        <v/>
      </c>
      <c r="R29" s="69" t="str">
        <f>IF(AND('Mapa final'!$AA$31="Media",'Mapa final'!$AC$31="Menor"),CONCATENATE("R4C",'Mapa final'!$Q$31),"")</f>
        <v/>
      </c>
      <c r="S29" s="69" t="str">
        <f>IF(AND('Mapa final'!$AA$32="Media",'Mapa final'!$AC$32="Menor"),CONCATENATE("R4C",'Mapa final'!$Q$32),"")</f>
        <v/>
      </c>
      <c r="T29" s="69" t="str">
        <f>IF(AND('Mapa final'!$AA$33="Media",'Mapa final'!$AC$33="Menor"),CONCATENATE("R4C",'Mapa final'!$Q$33),"")</f>
        <v/>
      </c>
      <c r="U29" s="70" t="str">
        <f>IF(AND('Mapa final'!$AA$34="Media",'Mapa final'!$AC$34="Menor"),CONCATENATE("R4C",'Mapa final'!$Q$34),"")</f>
        <v/>
      </c>
      <c r="V29" s="68" t="str">
        <f>IF(AND('Mapa final'!$AA$29="Media",'Mapa final'!$AC$29="Moderado"),CONCATENATE("R4C",'Mapa final'!$Q$29),"")</f>
        <v/>
      </c>
      <c r="W29" s="69" t="str">
        <f>IF(AND('Mapa final'!$AA$30="Media",'Mapa final'!$AC$30="Moderado"),CONCATENATE("R4C",'Mapa final'!$Q$30),"")</f>
        <v/>
      </c>
      <c r="X29" s="69" t="str">
        <f>IF(AND('Mapa final'!$AA$31="Media",'Mapa final'!$AC$31="Moderado"),CONCATENATE("R4C",'Mapa final'!$Q$31),"")</f>
        <v/>
      </c>
      <c r="Y29" s="69" t="str">
        <f>IF(AND('Mapa final'!$AA$32="Media",'Mapa final'!$AC$32="Moderado"),CONCATENATE("R4C",'Mapa final'!$Q$32),"")</f>
        <v/>
      </c>
      <c r="Z29" s="69" t="str">
        <f>IF(AND('Mapa final'!$AA$33="Media",'Mapa final'!$AC$33="Moderado"),CONCATENATE("R4C",'Mapa final'!$Q$33),"")</f>
        <v/>
      </c>
      <c r="AA29" s="70" t="str">
        <f>IF(AND('Mapa final'!$AA$34="Media",'Mapa final'!$AC$34="Moderado"),CONCATENATE("R4C",'Mapa final'!$Q$34),"")</f>
        <v/>
      </c>
      <c r="AB29" s="52" t="str">
        <f>IF(AND('Mapa final'!$AA$29="Media",'Mapa final'!$AC$29="Mayor"),CONCATENATE("R4C",'Mapa final'!$Q$29),"")</f>
        <v/>
      </c>
      <c r="AC29" s="53" t="str">
        <f>IF(AND('Mapa final'!$AA$30="Media",'Mapa final'!$AC$30="Mayor"),CONCATENATE("R4C",'Mapa final'!$Q$30),"")</f>
        <v/>
      </c>
      <c r="AD29" s="58" t="str">
        <f>IF(AND('Mapa final'!$AA$31="Media",'Mapa final'!$AC$31="Mayor"),CONCATENATE("R4C",'Mapa final'!$Q$31),"")</f>
        <v/>
      </c>
      <c r="AE29" s="58" t="str">
        <f>IF(AND('Mapa final'!$AA$32="Media",'Mapa final'!$AC$32="Mayor"),CONCATENATE("R4C",'Mapa final'!$Q$32),"")</f>
        <v/>
      </c>
      <c r="AF29" s="58" t="str">
        <f>IF(AND('Mapa final'!$AA$33="Media",'Mapa final'!$AC$33="Mayor"),CONCATENATE("R4C",'Mapa final'!$Q$33),"")</f>
        <v/>
      </c>
      <c r="AG29" s="54" t="str">
        <f>IF(AND('Mapa final'!$AA$34="Media",'Mapa final'!$AC$34="Mayor"),CONCATENATE("R4C",'Mapa final'!$Q$34),"")</f>
        <v/>
      </c>
      <c r="AH29" s="55" t="str">
        <f>IF(AND('Mapa final'!$AA$29="Media",'Mapa final'!$AC$29="Catastrófico"),CONCATENATE("R4C",'Mapa final'!$Q$29),"")</f>
        <v/>
      </c>
      <c r="AI29" s="56" t="str">
        <f>IF(AND('Mapa final'!$AA$30="Media",'Mapa final'!$AC$30="Catastrófico"),CONCATENATE("R4C",'Mapa final'!$Q$30),"")</f>
        <v/>
      </c>
      <c r="AJ29" s="56" t="str">
        <f>IF(AND('Mapa final'!$AA$31="Media",'Mapa final'!$AC$31="Catastrófico"),CONCATENATE("R4C",'Mapa final'!$Q$31),"")</f>
        <v/>
      </c>
      <c r="AK29" s="56" t="str">
        <f>IF(AND('Mapa final'!$AA$32="Media",'Mapa final'!$AC$32="Catastrófico"),CONCATENATE("R4C",'Mapa final'!$Q$32),"")</f>
        <v/>
      </c>
      <c r="AL29" s="56" t="str">
        <f>IF(AND('Mapa final'!$AA$33="Media",'Mapa final'!$AC$33="Catastrófico"),CONCATENATE("R4C",'Mapa final'!$Q$33),"")</f>
        <v/>
      </c>
      <c r="AM29" s="57" t="str">
        <f>IF(AND('Mapa final'!$AA$34="Media",'Mapa final'!$AC$34="Catastrófico"),CONCATENATE("R4C",'Mapa final'!$Q$34),"")</f>
        <v/>
      </c>
      <c r="AN29" s="84"/>
      <c r="AO29" s="395"/>
      <c r="AP29" s="396"/>
      <c r="AQ29" s="396"/>
      <c r="AR29" s="396"/>
      <c r="AS29" s="396"/>
      <c r="AT29" s="397"/>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313"/>
      <c r="C30" s="313"/>
      <c r="D30" s="314"/>
      <c r="E30" s="354"/>
      <c r="F30" s="355"/>
      <c r="G30" s="355"/>
      <c r="H30" s="355"/>
      <c r="I30" s="356"/>
      <c r="J30" s="68" t="str">
        <f>IF(AND('Mapa final'!$AA$35="Media",'Mapa final'!$AC$35="Leve"),CONCATENATE("R5C",'Mapa final'!$Q$35),"")</f>
        <v/>
      </c>
      <c r="K30" s="69" t="str">
        <f>IF(AND('Mapa final'!$AA$36="Media",'Mapa final'!$AC$36="Leve"),CONCATENATE("R5C",'Mapa final'!$Q$36),"")</f>
        <v/>
      </c>
      <c r="L30" s="69" t="str">
        <f>IF(AND('Mapa final'!$AA$37="Media",'Mapa final'!$AC$37="Leve"),CONCATENATE("R5C",'Mapa final'!$Q$37),"")</f>
        <v/>
      </c>
      <c r="M30" s="69" t="str">
        <f>IF(AND('Mapa final'!$AA$38="Media",'Mapa final'!$AC$38="Leve"),CONCATENATE("R5C",'Mapa final'!$Q$38),"")</f>
        <v/>
      </c>
      <c r="N30" s="69" t="str">
        <f>IF(AND('Mapa final'!$AA$39="Media",'Mapa final'!$AC$39="Leve"),CONCATENATE("R5C",'Mapa final'!$Q$39),"")</f>
        <v/>
      </c>
      <c r="O30" s="70" t="str">
        <f>IF(AND('Mapa final'!$AA$40="Media",'Mapa final'!$AC$40="Leve"),CONCATENATE("R5C",'Mapa final'!$Q$40),"")</f>
        <v/>
      </c>
      <c r="P30" s="68" t="str">
        <f>IF(AND('Mapa final'!$AA$35="Media",'Mapa final'!$AC$35="Menor"),CONCATENATE("R5C",'Mapa final'!$Q$35),"")</f>
        <v/>
      </c>
      <c r="Q30" s="69" t="str">
        <f>IF(AND('Mapa final'!$AA$36="Media",'Mapa final'!$AC$36="Menor"),CONCATENATE("R5C",'Mapa final'!$Q$36),"")</f>
        <v/>
      </c>
      <c r="R30" s="69" t="str">
        <f>IF(AND('Mapa final'!$AA$37="Media",'Mapa final'!$AC$37="Menor"),CONCATENATE("R5C",'Mapa final'!$Q$37),"")</f>
        <v/>
      </c>
      <c r="S30" s="69" t="str">
        <f>IF(AND('Mapa final'!$AA$38="Media",'Mapa final'!$AC$38="Menor"),CONCATENATE("R5C",'Mapa final'!$Q$38),"")</f>
        <v/>
      </c>
      <c r="T30" s="69" t="str">
        <f>IF(AND('Mapa final'!$AA$39="Media",'Mapa final'!$AC$39="Menor"),CONCATENATE("R5C",'Mapa final'!$Q$39),"")</f>
        <v/>
      </c>
      <c r="U30" s="70" t="str">
        <f>IF(AND('Mapa final'!$AA$40="Media",'Mapa final'!$AC$40="Menor"),CONCATENATE("R5C",'Mapa final'!$Q$40),"")</f>
        <v/>
      </c>
      <c r="V30" s="68" t="str">
        <f>IF(AND('Mapa final'!$AA$35="Media",'Mapa final'!$AC$35="Moderado"),CONCATENATE("R5C",'Mapa final'!$Q$35),"")</f>
        <v/>
      </c>
      <c r="W30" s="69" t="str">
        <f>IF(AND('Mapa final'!$AA$36="Media",'Mapa final'!$AC$36="Moderado"),CONCATENATE("R5C",'Mapa final'!$Q$36),"")</f>
        <v/>
      </c>
      <c r="X30" s="69" t="str">
        <f>IF(AND('Mapa final'!$AA$37="Media",'Mapa final'!$AC$37="Moderado"),CONCATENATE("R5C",'Mapa final'!$Q$37),"")</f>
        <v/>
      </c>
      <c r="Y30" s="69" t="str">
        <f>IF(AND('Mapa final'!$AA$38="Media",'Mapa final'!$AC$38="Moderado"),CONCATENATE("R5C",'Mapa final'!$Q$38),"")</f>
        <v/>
      </c>
      <c r="Z30" s="69" t="str">
        <f>IF(AND('Mapa final'!$AA$39="Media",'Mapa final'!$AC$39="Moderado"),CONCATENATE("R5C",'Mapa final'!$Q$39),"")</f>
        <v/>
      </c>
      <c r="AA30" s="70" t="str">
        <f>IF(AND('Mapa final'!$AA$40="Media",'Mapa final'!$AC$40="Moderado"),CONCATENATE("R5C",'Mapa final'!$Q$40),"")</f>
        <v/>
      </c>
      <c r="AB30" s="52" t="str">
        <f>IF(AND('Mapa final'!$AA$35="Media",'Mapa final'!$AC$35="Mayor"),CONCATENATE("R5C",'Mapa final'!$Q$35),"")</f>
        <v/>
      </c>
      <c r="AC30" s="53" t="str">
        <f>IF(AND('Mapa final'!$AA$36="Media",'Mapa final'!$AC$36="Mayor"),CONCATENATE("R5C",'Mapa final'!$Q$36),"")</f>
        <v/>
      </c>
      <c r="AD30" s="58" t="str">
        <f>IF(AND('Mapa final'!$AA$37="Media",'Mapa final'!$AC$37="Mayor"),CONCATENATE("R5C",'Mapa final'!$Q$37),"")</f>
        <v/>
      </c>
      <c r="AE30" s="58" t="str">
        <f>IF(AND('Mapa final'!$AA$38="Media",'Mapa final'!$AC$38="Mayor"),CONCATENATE("R5C",'Mapa final'!$Q$38),"")</f>
        <v/>
      </c>
      <c r="AF30" s="58" t="str">
        <f>IF(AND('Mapa final'!$AA$39="Media",'Mapa final'!$AC$39="Mayor"),CONCATENATE("R5C",'Mapa final'!$Q$39),"")</f>
        <v/>
      </c>
      <c r="AG30" s="54" t="str">
        <f>IF(AND('Mapa final'!$AA$40="Media",'Mapa final'!$AC$40="Mayor"),CONCATENATE("R5C",'Mapa final'!$Q$40),"")</f>
        <v/>
      </c>
      <c r="AH30" s="55" t="str">
        <f>IF(AND('Mapa final'!$AA$35="Media",'Mapa final'!$AC$35="Catastrófico"),CONCATENATE("R5C",'Mapa final'!$Q$35),"")</f>
        <v/>
      </c>
      <c r="AI30" s="56" t="str">
        <f>IF(AND('Mapa final'!$AA$36="Media",'Mapa final'!$AC$36="Catastrófico"),CONCATENATE("R5C",'Mapa final'!$Q$36),"")</f>
        <v/>
      </c>
      <c r="AJ30" s="56" t="str">
        <f>IF(AND('Mapa final'!$AA$37="Media",'Mapa final'!$AC$37="Catastrófico"),CONCATENATE("R5C",'Mapa final'!$Q$37),"")</f>
        <v/>
      </c>
      <c r="AK30" s="56" t="str">
        <f>IF(AND('Mapa final'!$AA$38="Media",'Mapa final'!$AC$38="Catastrófico"),CONCATENATE("R5C",'Mapa final'!$Q$38),"")</f>
        <v/>
      </c>
      <c r="AL30" s="56" t="str">
        <f>IF(AND('Mapa final'!$AA$39="Media",'Mapa final'!$AC$39="Catastrófico"),CONCATENATE("R5C",'Mapa final'!$Q$39),"")</f>
        <v/>
      </c>
      <c r="AM30" s="57" t="str">
        <f>IF(AND('Mapa final'!$AA$40="Media",'Mapa final'!$AC$40="Catastrófico"),CONCATENATE("R5C",'Mapa final'!$Q$40),"")</f>
        <v/>
      </c>
      <c r="AN30" s="84"/>
      <c r="AO30" s="395"/>
      <c r="AP30" s="396"/>
      <c r="AQ30" s="396"/>
      <c r="AR30" s="396"/>
      <c r="AS30" s="396"/>
      <c r="AT30" s="397"/>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313"/>
      <c r="C31" s="313"/>
      <c r="D31" s="314"/>
      <c r="E31" s="354"/>
      <c r="F31" s="355"/>
      <c r="G31" s="355"/>
      <c r="H31" s="355"/>
      <c r="I31" s="356"/>
      <c r="J31" s="68" t="str">
        <f>IF(AND('Mapa final'!$AA$41="Media",'Mapa final'!$AC$41="Leve"),CONCATENATE("R6C",'Mapa final'!$Q$41),"")</f>
        <v/>
      </c>
      <c r="K31" s="69" t="str">
        <f>IF(AND('Mapa final'!$AA$42="Media",'Mapa final'!$AC$42="Leve"),CONCATENATE("R6C",'Mapa final'!$Q$42),"")</f>
        <v/>
      </c>
      <c r="L31" s="69" t="str">
        <f>IF(AND('Mapa final'!$AA$43="Media",'Mapa final'!$AC$43="Leve"),CONCATENATE("R6C",'Mapa final'!$Q$43),"")</f>
        <v/>
      </c>
      <c r="M31" s="69" t="str">
        <f>IF(AND('Mapa final'!$AA$44="Media",'Mapa final'!$AC$44="Leve"),CONCATENATE("R6C",'Mapa final'!$Q$44),"")</f>
        <v/>
      </c>
      <c r="N31" s="69" t="str">
        <f>IF(AND('Mapa final'!$AA$45="Media",'Mapa final'!$AC$45="Leve"),CONCATENATE("R6C",'Mapa final'!$Q$45),"")</f>
        <v/>
      </c>
      <c r="O31" s="70" t="str">
        <f>IF(AND('Mapa final'!$AA$46="Media",'Mapa final'!$AC$46="Leve"),CONCATENATE("R6C",'Mapa final'!$Q$46),"")</f>
        <v/>
      </c>
      <c r="P31" s="68" t="str">
        <f>IF(AND('Mapa final'!$AA$41="Media",'Mapa final'!$AC$41="Menor"),CONCATENATE("R6C",'Mapa final'!$Q$41),"")</f>
        <v/>
      </c>
      <c r="Q31" s="69" t="str">
        <f>IF(AND('Mapa final'!$AA$42="Media",'Mapa final'!$AC$42="Menor"),CONCATENATE("R6C",'Mapa final'!$Q$42),"")</f>
        <v/>
      </c>
      <c r="R31" s="69" t="str">
        <f>IF(AND('Mapa final'!$AA$43="Media",'Mapa final'!$AC$43="Menor"),CONCATENATE("R6C",'Mapa final'!$Q$43),"")</f>
        <v/>
      </c>
      <c r="S31" s="69" t="str">
        <f>IF(AND('Mapa final'!$AA$44="Media",'Mapa final'!$AC$44="Menor"),CONCATENATE("R6C",'Mapa final'!$Q$44),"")</f>
        <v/>
      </c>
      <c r="T31" s="69" t="str">
        <f>IF(AND('Mapa final'!$AA$45="Media",'Mapa final'!$AC$45="Menor"),CONCATENATE("R6C",'Mapa final'!$Q$45),"")</f>
        <v/>
      </c>
      <c r="U31" s="70" t="str">
        <f>IF(AND('Mapa final'!$AA$46="Media",'Mapa final'!$AC$46="Menor"),CONCATENATE("R6C",'Mapa final'!$Q$46),"")</f>
        <v/>
      </c>
      <c r="V31" s="68" t="str">
        <f>IF(AND('Mapa final'!$AA$41="Media",'Mapa final'!$AC$41="Moderado"),CONCATENATE("R6C",'Mapa final'!$Q$41),"")</f>
        <v/>
      </c>
      <c r="W31" s="69" t="str">
        <f>IF(AND('Mapa final'!$AA$42="Media",'Mapa final'!$AC$42="Moderado"),CONCATENATE("R6C",'Mapa final'!$Q$42),"")</f>
        <v/>
      </c>
      <c r="X31" s="69" t="str">
        <f>IF(AND('Mapa final'!$AA$43="Media",'Mapa final'!$AC$43="Moderado"),CONCATENATE("R6C",'Mapa final'!$Q$43),"")</f>
        <v/>
      </c>
      <c r="Y31" s="69" t="str">
        <f>IF(AND('Mapa final'!$AA$44="Media",'Mapa final'!$AC$44="Moderado"),CONCATENATE("R6C",'Mapa final'!$Q$44),"")</f>
        <v/>
      </c>
      <c r="Z31" s="69" t="str">
        <f>IF(AND('Mapa final'!$AA$45="Media",'Mapa final'!$AC$45="Moderado"),CONCATENATE("R6C",'Mapa final'!$Q$45),"")</f>
        <v/>
      </c>
      <c r="AA31" s="70" t="str">
        <f>IF(AND('Mapa final'!$AA$46="Media",'Mapa final'!$AC$46="Moderado"),CONCATENATE("R6C",'Mapa final'!$Q$46),"")</f>
        <v/>
      </c>
      <c r="AB31" s="52" t="str">
        <f>IF(AND('Mapa final'!$AA$41="Media",'Mapa final'!$AC$41="Mayor"),CONCATENATE("R6C",'Mapa final'!$Q$41),"")</f>
        <v/>
      </c>
      <c r="AC31" s="53" t="str">
        <f>IF(AND('Mapa final'!$AA$42="Media",'Mapa final'!$AC$42="Mayor"),CONCATENATE("R6C",'Mapa final'!$Q$42),"")</f>
        <v/>
      </c>
      <c r="AD31" s="58" t="str">
        <f>IF(AND('Mapa final'!$AA$43="Media",'Mapa final'!$AC$43="Mayor"),CONCATENATE("R6C",'Mapa final'!$Q$43),"")</f>
        <v/>
      </c>
      <c r="AE31" s="58" t="str">
        <f>IF(AND('Mapa final'!$AA$44="Media",'Mapa final'!$AC$44="Mayor"),CONCATENATE("R6C",'Mapa final'!$Q$44),"")</f>
        <v/>
      </c>
      <c r="AF31" s="58" t="str">
        <f>IF(AND('Mapa final'!$AA$45="Media",'Mapa final'!$AC$45="Mayor"),CONCATENATE("R6C",'Mapa final'!$Q$45),"")</f>
        <v/>
      </c>
      <c r="AG31" s="54" t="str">
        <f>IF(AND('Mapa final'!$AA$46="Media",'Mapa final'!$AC$46="Mayor"),CONCATENATE("R6C",'Mapa final'!$Q$46),"")</f>
        <v/>
      </c>
      <c r="AH31" s="55" t="str">
        <f>IF(AND('Mapa final'!$AA$41="Media",'Mapa final'!$AC$41="Catastrófico"),CONCATENATE("R6C",'Mapa final'!$Q$41),"")</f>
        <v/>
      </c>
      <c r="AI31" s="56" t="str">
        <f>IF(AND('Mapa final'!$AA$42="Media",'Mapa final'!$AC$42="Catastrófico"),CONCATENATE("R6C",'Mapa final'!$Q$42),"")</f>
        <v/>
      </c>
      <c r="AJ31" s="56" t="str">
        <f>IF(AND('Mapa final'!$AA$43="Media",'Mapa final'!$AC$43="Catastrófico"),CONCATENATE("R6C",'Mapa final'!$Q$43),"")</f>
        <v/>
      </c>
      <c r="AK31" s="56" t="str">
        <f>IF(AND('Mapa final'!$AA$44="Media",'Mapa final'!$AC$44="Catastrófico"),CONCATENATE("R6C",'Mapa final'!$Q$44),"")</f>
        <v/>
      </c>
      <c r="AL31" s="56" t="str">
        <f>IF(AND('Mapa final'!$AA$45="Media",'Mapa final'!$AC$45="Catastrófico"),CONCATENATE("R6C",'Mapa final'!$Q$45),"")</f>
        <v/>
      </c>
      <c r="AM31" s="57" t="str">
        <f>IF(AND('Mapa final'!$AA$46="Media",'Mapa final'!$AC$46="Catastrófico"),CONCATENATE("R6C",'Mapa final'!$Q$46),"")</f>
        <v/>
      </c>
      <c r="AN31" s="84"/>
      <c r="AO31" s="395"/>
      <c r="AP31" s="396"/>
      <c r="AQ31" s="396"/>
      <c r="AR31" s="396"/>
      <c r="AS31" s="396"/>
      <c r="AT31" s="397"/>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313"/>
      <c r="C32" s="313"/>
      <c r="D32" s="314"/>
      <c r="E32" s="354"/>
      <c r="F32" s="355"/>
      <c r="G32" s="355"/>
      <c r="H32" s="355"/>
      <c r="I32" s="356"/>
      <c r="J32" s="68" t="str">
        <f>IF(AND('Mapa final'!$AA$47="Media",'Mapa final'!$AC$47="Leve"),CONCATENATE("R7C",'Mapa final'!$Q$47),"")</f>
        <v/>
      </c>
      <c r="K32" s="69" t="str">
        <f>IF(AND('Mapa final'!$AA$48="Media",'Mapa final'!$AC$48="Leve"),CONCATENATE("R7C",'Mapa final'!$Q$48),"")</f>
        <v/>
      </c>
      <c r="L32" s="69" t="str">
        <f>IF(AND('Mapa final'!$AA$49="Media",'Mapa final'!$AC$49="Leve"),CONCATENATE("R7C",'Mapa final'!$Q$49),"")</f>
        <v/>
      </c>
      <c r="M32" s="69" t="str">
        <f>IF(AND('Mapa final'!$AA$50="Media",'Mapa final'!$AC$50="Leve"),CONCATENATE("R7C",'Mapa final'!$Q$50),"")</f>
        <v/>
      </c>
      <c r="N32" s="69" t="str">
        <f>IF(AND('Mapa final'!$AA$51="Media",'Mapa final'!$AC$51="Leve"),CONCATENATE("R7C",'Mapa final'!$Q$51),"")</f>
        <v/>
      </c>
      <c r="O32" s="70" t="str">
        <f>IF(AND('Mapa final'!$AA$52="Media",'Mapa final'!$AC$52="Leve"),CONCATENATE("R7C",'Mapa final'!$Q$52),"")</f>
        <v/>
      </c>
      <c r="P32" s="68" t="str">
        <f>IF(AND('Mapa final'!$AA$47="Media",'Mapa final'!$AC$47="Menor"),CONCATENATE("R7C",'Mapa final'!$Q$47),"")</f>
        <v/>
      </c>
      <c r="Q32" s="69" t="str">
        <f>IF(AND('Mapa final'!$AA$48="Media",'Mapa final'!$AC$48="Menor"),CONCATENATE("R7C",'Mapa final'!$Q$48),"")</f>
        <v/>
      </c>
      <c r="R32" s="69" t="str">
        <f>IF(AND('Mapa final'!$AA$49="Media",'Mapa final'!$AC$49="Menor"),CONCATENATE("R7C",'Mapa final'!$Q$49),"")</f>
        <v/>
      </c>
      <c r="S32" s="69" t="str">
        <f>IF(AND('Mapa final'!$AA$50="Media",'Mapa final'!$AC$50="Menor"),CONCATENATE("R7C",'Mapa final'!$Q$50),"")</f>
        <v/>
      </c>
      <c r="T32" s="69" t="str">
        <f>IF(AND('Mapa final'!$AA$51="Media",'Mapa final'!$AC$51="Menor"),CONCATENATE("R7C",'Mapa final'!$Q$51),"")</f>
        <v/>
      </c>
      <c r="U32" s="70" t="str">
        <f>IF(AND('Mapa final'!$AA$52="Media",'Mapa final'!$AC$52="Menor"),CONCATENATE("R7C",'Mapa final'!$Q$52),"")</f>
        <v/>
      </c>
      <c r="V32" s="68" t="str">
        <f>IF(AND('Mapa final'!$AA$47="Media",'Mapa final'!$AC$47="Moderado"),CONCATENATE("R7C",'Mapa final'!$Q$47),"")</f>
        <v/>
      </c>
      <c r="W32" s="69" t="str">
        <f>IF(AND('Mapa final'!$AA$48="Media",'Mapa final'!$AC$48="Moderado"),CONCATENATE("R7C",'Mapa final'!$Q$48),"")</f>
        <v/>
      </c>
      <c r="X32" s="69" t="str">
        <f>IF(AND('Mapa final'!$AA$49="Media",'Mapa final'!$AC$49="Moderado"),CONCATENATE("R7C",'Mapa final'!$Q$49),"")</f>
        <v/>
      </c>
      <c r="Y32" s="69" t="str">
        <f>IF(AND('Mapa final'!$AA$50="Media",'Mapa final'!$AC$50="Moderado"),CONCATENATE("R7C",'Mapa final'!$Q$50),"")</f>
        <v/>
      </c>
      <c r="Z32" s="69" t="str">
        <f>IF(AND('Mapa final'!$AA$51="Media",'Mapa final'!$AC$51="Moderado"),CONCATENATE("R7C",'Mapa final'!$Q$51),"")</f>
        <v/>
      </c>
      <c r="AA32" s="70" t="str">
        <f>IF(AND('Mapa final'!$AA$52="Media",'Mapa final'!$AC$52="Moderado"),CONCATENATE("R7C",'Mapa final'!$Q$52),"")</f>
        <v/>
      </c>
      <c r="AB32" s="52" t="str">
        <f>IF(AND('Mapa final'!$AA$47="Media",'Mapa final'!$AC$47="Mayor"),CONCATENATE("R7C",'Mapa final'!$Q$47),"")</f>
        <v/>
      </c>
      <c r="AC32" s="53" t="str">
        <f>IF(AND('Mapa final'!$AA$48="Media",'Mapa final'!$AC$48="Mayor"),CONCATENATE("R7C",'Mapa final'!$Q$48),"")</f>
        <v/>
      </c>
      <c r="AD32" s="58" t="str">
        <f>IF(AND('Mapa final'!$AA$49="Media",'Mapa final'!$AC$49="Mayor"),CONCATENATE("R7C",'Mapa final'!$Q$49),"")</f>
        <v/>
      </c>
      <c r="AE32" s="58" t="str">
        <f>IF(AND('Mapa final'!$AA$50="Media",'Mapa final'!$AC$50="Mayor"),CONCATENATE("R7C",'Mapa final'!$Q$50),"")</f>
        <v/>
      </c>
      <c r="AF32" s="58" t="str">
        <f>IF(AND('Mapa final'!$AA$51="Media",'Mapa final'!$AC$51="Mayor"),CONCATENATE("R7C",'Mapa final'!$Q$51),"")</f>
        <v/>
      </c>
      <c r="AG32" s="54" t="str">
        <f>IF(AND('Mapa final'!$AA$52="Media",'Mapa final'!$AC$52="Mayor"),CONCATENATE("R7C",'Mapa final'!$Q$52),"")</f>
        <v/>
      </c>
      <c r="AH32" s="55" t="str">
        <f>IF(AND('Mapa final'!$AA$47="Media",'Mapa final'!$AC$47="Catastrófico"),CONCATENATE("R7C",'Mapa final'!$Q$47),"")</f>
        <v/>
      </c>
      <c r="AI32" s="56" t="str">
        <f>IF(AND('Mapa final'!$AA$48="Media",'Mapa final'!$AC$48="Catastrófico"),CONCATENATE("R7C",'Mapa final'!$Q$48),"")</f>
        <v/>
      </c>
      <c r="AJ32" s="56" t="str">
        <f>IF(AND('Mapa final'!$AA$49="Media",'Mapa final'!$AC$49="Catastrófico"),CONCATENATE("R7C",'Mapa final'!$Q$49),"")</f>
        <v/>
      </c>
      <c r="AK32" s="56" t="str">
        <f>IF(AND('Mapa final'!$AA$50="Media",'Mapa final'!$AC$50="Catastrófico"),CONCATENATE("R7C",'Mapa final'!$Q$50),"")</f>
        <v/>
      </c>
      <c r="AL32" s="56" t="str">
        <f>IF(AND('Mapa final'!$AA$51="Media",'Mapa final'!$AC$51="Catastrófico"),CONCATENATE("R7C",'Mapa final'!$Q$51),"")</f>
        <v/>
      </c>
      <c r="AM32" s="57" t="str">
        <f>IF(AND('Mapa final'!$AA$52="Media",'Mapa final'!$AC$52="Catastrófico"),CONCATENATE("R7C",'Mapa final'!$Q$52),"")</f>
        <v/>
      </c>
      <c r="AN32" s="84"/>
      <c r="AO32" s="395"/>
      <c r="AP32" s="396"/>
      <c r="AQ32" s="396"/>
      <c r="AR32" s="396"/>
      <c r="AS32" s="396"/>
      <c r="AT32" s="397"/>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313"/>
      <c r="C33" s="313"/>
      <c r="D33" s="314"/>
      <c r="E33" s="354"/>
      <c r="F33" s="355"/>
      <c r="G33" s="355"/>
      <c r="H33" s="355"/>
      <c r="I33" s="356"/>
      <c r="J33" s="68" t="str">
        <f>IF(AND('Mapa final'!$AA$53="Media",'Mapa final'!$AC$53="Leve"),CONCATENATE("R8C",'Mapa final'!$Q$53),"")</f>
        <v/>
      </c>
      <c r="K33" s="69" t="str">
        <f>IF(AND('Mapa final'!$AA$54="Media",'Mapa final'!$AC$54="Leve"),CONCATENATE("R8C",'Mapa final'!$Q$54),"")</f>
        <v/>
      </c>
      <c r="L33" s="69" t="str">
        <f>IF(AND('Mapa final'!$AA$55="Media",'Mapa final'!$AC$55="Leve"),CONCATENATE("R8C",'Mapa final'!$Q$55),"")</f>
        <v/>
      </c>
      <c r="M33" s="69" t="str">
        <f>IF(AND('Mapa final'!$AA$56="Media",'Mapa final'!$AC$56="Leve"),CONCATENATE("R8C",'Mapa final'!$Q$56),"")</f>
        <v/>
      </c>
      <c r="N33" s="69" t="str">
        <f>IF(AND('Mapa final'!$AA$57="Media",'Mapa final'!$AC$57="Leve"),CONCATENATE("R8C",'Mapa final'!$Q$57),"")</f>
        <v/>
      </c>
      <c r="O33" s="70" t="str">
        <f>IF(AND('Mapa final'!$AA$58="Media",'Mapa final'!$AC$58="Leve"),CONCATENATE("R8C",'Mapa final'!$Q$58),"")</f>
        <v/>
      </c>
      <c r="P33" s="68" t="str">
        <f>IF(AND('Mapa final'!$AA$53="Media",'Mapa final'!$AC$53="Menor"),CONCATENATE("R8C",'Mapa final'!$Q$53),"")</f>
        <v/>
      </c>
      <c r="Q33" s="69" t="str">
        <f>IF(AND('Mapa final'!$AA$54="Media",'Mapa final'!$AC$54="Menor"),CONCATENATE("R8C",'Mapa final'!$Q$54),"")</f>
        <v/>
      </c>
      <c r="R33" s="69" t="str">
        <f>IF(AND('Mapa final'!$AA$55="Media",'Mapa final'!$AC$55="Menor"),CONCATENATE("R8C",'Mapa final'!$Q$55),"")</f>
        <v/>
      </c>
      <c r="S33" s="69" t="str">
        <f>IF(AND('Mapa final'!$AA$56="Media",'Mapa final'!$AC$56="Menor"),CONCATENATE("R8C",'Mapa final'!$Q$56),"")</f>
        <v/>
      </c>
      <c r="T33" s="69" t="str">
        <f>IF(AND('Mapa final'!$AA$57="Media",'Mapa final'!$AC$57="Menor"),CONCATENATE("R8C",'Mapa final'!$Q$57),"")</f>
        <v/>
      </c>
      <c r="U33" s="70" t="str">
        <f>IF(AND('Mapa final'!$AA$58="Media",'Mapa final'!$AC$58="Menor"),CONCATENATE("R8C",'Mapa final'!$Q$58),"")</f>
        <v/>
      </c>
      <c r="V33" s="68" t="str">
        <f>IF(AND('Mapa final'!$AA$53="Media",'Mapa final'!$AC$53="Moderado"),CONCATENATE("R8C",'Mapa final'!$Q$53),"")</f>
        <v/>
      </c>
      <c r="W33" s="69" t="str">
        <f>IF(AND('Mapa final'!$AA$54="Media",'Mapa final'!$AC$54="Moderado"),CONCATENATE("R8C",'Mapa final'!$Q$54),"")</f>
        <v/>
      </c>
      <c r="X33" s="69" t="str">
        <f>IF(AND('Mapa final'!$AA$55="Media",'Mapa final'!$AC$55="Moderado"),CONCATENATE("R8C",'Mapa final'!$Q$55),"")</f>
        <v/>
      </c>
      <c r="Y33" s="69" t="str">
        <f>IF(AND('Mapa final'!$AA$56="Media",'Mapa final'!$AC$56="Moderado"),CONCATENATE("R8C",'Mapa final'!$Q$56),"")</f>
        <v/>
      </c>
      <c r="Z33" s="69" t="str">
        <f>IF(AND('Mapa final'!$AA$57="Media",'Mapa final'!$AC$57="Moderado"),CONCATENATE("R8C",'Mapa final'!$Q$57),"")</f>
        <v/>
      </c>
      <c r="AA33" s="70" t="str">
        <f>IF(AND('Mapa final'!$AA$58="Media",'Mapa final'!$AC$58="Moderado"),CONCATENATE("R8C",'Mapa final'!$Q$58),"")</f>
        <v/>
      </c>
      <c r="AB33" s="52" t="str">
        <f>IF(AND('Mapa final'!$AA$53="Media",'Mapa final'!$AC$53="Mayor"),CONCATENATE("R8C",'Mapa final'!$Q$53),"")</f>
        <v/>
      </c>
      <c r="AC33" s="53" t="str">
        <f>IF(AND('Mapa final'!$AA$54="Media",'Mapa final'!$AC$54="Mayor"),CONCATENATE("R8C",'Mapa final'!$Q$54),"")</f>
        <v/>
      </c>
      <c r="AD33" s="58" t="str">
        <f>IF(AND('Mapa final'!$AA$55="Media",'Mapa final'!$AC$55="Mayor"),CONCATENATE("R8C",'Mapa final'!$Q$55),"")</f>
        <v/>
      </c>
      <c r="AE33" s="58" t="str">
        <f>IF(AND('Mapa final'!$AA$56="Media",'Mapa final'!$AC$56="Mayor"),CONCATENATE("R8C",'Mapa final'!$Q$56),"")</f>
        <v/>
      </c>
      <c r="AF33" s="58" t="str">
        <f>IF(AND('Mapa final'!$AA$57="Media",'Mapa final'!$AC$57="Mayor"),CONCATENATE("R8C",'Mapa final'!$Q$57),"")</f>
        <v/>
      </c>
      <c r="AG33" s="54" t="str">
        <f>IF(AND('Mapa final'!$AA$58="Media",'Mapa final'!$AC$58="Mayor"),CONCATENATE("R8C",'Mapa final'!$Q$58),"")</f>
        <v/>
      </c>
      <c r="AH33" s="55" t="str">
        <f>IF(AND('Mapa final'!$AA$53="Media",'Mapa final'!$AC$53="Catastrófico"),CONCATENATE("R8C",'Mapa final'!$Q$53),"")</f>
        <v/>
      </c>
      <c r="AI33" s="56" t="str">
        <f>IF(AND('Mapa final'!$AA$54="Media",'Mapa final'!$AC$54="Catastrófico"),CONCATENATE("R8C",'Mapa final'!$Q$54),"")</f>
        <v/>
      </c>
      <c r="AJ33" s="56" t="str">
        <f>IF(AND('Mapa final'!$AA$55="Media",'Mapa final'!$AC$55="Catastrófico"),CONCATENATE("R8C",'Mapa final'!$Q$55),"")</f>
        <v/>
      </c>
      <c r="AK33" s="56" t="str">
        <f>IF(AND('Mapa final'!$AA$56="Media",'Mapa final'!$AC$56="Catastrófico"),CONCATENATE("R8C",'Mapa final'!$Q$56),"")</f>
        <v/>
      </c>
      <c r="AL33" s="56" t="str">
        <f>IF(AND('Mapa final'!$AA$57="Media",'Mapa final'!$AC$57="Catastrófico"),CONCATENATE("R8C",'Mapa final'!$Q$57),"")</f>
        <v/>
      </c>
      <c r="AM33" s="57" t="str">
        <f>IF(AND('Mapa final'!$AA$58="Media",'Mapa final'!$AC$58="Catastrófico"),CONCATENATE("R8C",'Mapa final'!$Q$58),"")</f>
        <v/>
      </c>
      <c r="AN33" s="84"/>
      <c r="AO33" s="395"/>
      <c r="AP33" s="396"/>
      <c r="AQ33" s="396"/>
      <c r="AR33" s="396"/>
      <c r="AS33" s="396"/>
      <c r="AT33" s="397"/>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313"/>
      <c r="C34" s="313"/>
      <c r="D34" s="314"/>
      <c r="E34" s="354"/>
      <c r="F34" s="355"/>
      <c r="G34" s="355"/>
      <c r="H34" s="355"/>
      <c r="I34" s="356"/>
      <c r="J34" s="68" t="str">
        <f>IF(AND('Mapa final'!$AA$59="Media",'Mapa final'!$AC$59="Leve"),CONCATENATE("R9C",'Mapa final'!$Q$59),"")</f>
        <v/>
      </c>
      <c r="K34" s="69" t="str">
        <f>IF(AND('Mapa final'!$AA$60="Media",'Mapa final'!$AC$60="Leve"),CONCATENATE("R9C",'Mapa final'!$Q$60),"")</f>
        <v/>
      </c>
      <c r="L34" s="69" t="str">
        <f>IF(AND('Mapa final'!$AA$61="Media",'Mapa final'!$AC$61="Leve"),CONCATENATE("R9C",'Mapa final'!$Q$61),"")</f>
        <v/>
      </c>
      <c r="M34" s="69" t="str">
        <f>IF(AND('Mapa final'!$AA$62="Media",'Mapa final'!$AC$62="Leve"),CONCATENATE("R9C",'Mapa final'!$Q$62),"")</f>
        <v/>
      </c>
      <c r="N34" s="69" t="str">
        <f>IF(AND('Mapa final'!$AA$63="Media",'Mapa final'!$AC$63="Leve"),CONCATENATE("R9C",'Mapa final'!$Q$63),"")</f>
        <v/>
      </c>
      <c r="O34" s="70" t="str">
        <f>IF(AND('Mapa final'!$AA$64="Media",'Mapa final'!$AC$64="Leve"),CONCATENATE("R9C",'Mapa final'!$Q$64),"")</f>
        <v/>
      </c>
      <c r="P34" s="68" t="str">
        <f>IF(AND('Mapa final'!$AA$59="Media",'Mapa final'!$AC$59="Menor"),CONCATENATE("R9C",'Mapa final'!$Q$59),"")</f>
        <v/>
      </c>
      <c r="Q34" s="69" t="str">
        <f>IF(AND('Mapa final'!$AA$60="Media",'Mapa final'!$AC$60="Menor"),CONCATENATE("R9C",'Mapa final'!$Q$60),"")</f>
        <v/>
      </c>
      <c r="R34" s="69" t="str">
        <f>IF(AND('Mapa final'!$AA$61="Media",'Mapa final'!$AC$61="Menor"),CONCATENATE("R9C",'Mapa final'!$Q$61),"")</f>
        <v/>
      </c>
      <c r="S34" s="69" t="str">
        <f>IF(AND('Mapa final'!$AA$62="Media",'Mapa final'!$AC$62="Menor"),CONCATENATE("R9C",'Mapa final'!$Q$62),"")</f>
        <v/>
      </c>
      <c r="T34" s="69" t="str">
        <f>IF(AND('Mapa final'!$AA$63="Media",'Mapa final'!$AC$63="Menor"),CONCATENATE("R9C",'Mapa final'!$Q$63),"")</f>
        <v/>
      </c>
      <c r="U34" s="70" t="str">
        <f>IF(AND('Mapa final'!$AA$64="Media",'Mapa final'!$AC$64="Menor"),CONCATENATE("R9C",'Mapa final'!$Q$64),"")</f>
        <v/>
      </c>
      <c r="V34" s="68" t="str">
        <f>IF(AND('Mapa final'!$AA$59="Media",'Mapa final'!$AC$59="Moderado"),CONCATENATE("R9C",'Mapa final'!$Q$59),"")</f>
        <v/>
      </c>
      <c r="W34" s="69" t="str">
        <f>IF(AND('Mapa final'!$AA$60="Media",'Mapa final'!$AC$60="Moderado"),CONCATENATE("R9C",'Mapa final'!$Q$60),"")</f>
        <v/>
      </c>
      <c r="X34" s="69" t="str">
        <f>IF(AND('Mapa final'!$AA$61="Media",'Mapa final'!$AC$61="Moderado"),CONCATENATE("R9C",'Mapa final'!$Q$61),"")</f>
        <v/>
      </c>
      <c r="Y34" s="69" t="str">
        <f>IF(AND('Mapa final'!$AA$62="Media",'Mapa final'!$AC$62="Moderado"),CONCATENATE("R9C",'Mapa final'!$Q$62),"")</f>
        <v/>
      </c>
      <c r="Z34" s="69" t="str">
        <f>IF(AND('Mapa final'!$AA$63="Media",'Mapa final'!$AC$63="Moderado"),CONCATENATE("R9C",'Mapa final'!$Q$63),"")</f>
        <v/>
      </c>
      <c r="AA34" s="70" t="str">
        <f>IF(AND('Mapa final'!$AA$64="Media",'Mapa final'!$AC$64="Moderado"),CONCATENATE("R9C",'Mapa final'!$Q$64),"")</f>
        <v/>
      </c>
      <c r="AB34" s="52" t="str">
        <f>IF(AND('Mapa final'!$AA$59="Media",'Mapa final'!$AC$59="Mayor"),CONCATENATE("R9C",'Mapa final'!$Q$59),"")</f>
        <v/>
      </c>
      <c r="AC34" s="53" t="str">
        <f>IF(AND('Mapa final'!$AA$60="Media",'Mapa final'!$AC$60="Mayor"),CONCATENATE("R9C",'Mapa final'!$Q$60),"")</f>
        <v/>
      </c>
      <c r="AD34" s="58" t="str">
        <f>IF(AND('Mapa final'!$AA$61="Media",'Mapa final'!$AC$61="Mayor"),CONCATENATE("R9C",'Mapa final'!$Q$61),"")</f>
        <v/>
      </c>
      <c r="AE34" s="58" t="str">
        <f>IF(AND('Mapa final'!$AA$62="Media",'Mapa final'!$AC$62="Mayor"),CONCATENATE("R9C",'Mapa final'!$Q$62),"")</f>
        <v/>
      </c>
      <c r="AF34" s="58" t="str">
        <f>IF(AND('Mapa final'!$AA$63="Media",'Mapa final'!$AC$63="Mayor"),CONCATENATE("R9C",'Mapa final'!$Q$63),"")</f>
        <v/>
      </c>
      <c r="AG34" s="54" t="str">
        <f>IF(AND('Mapa final'!$AA$64="Media",'Mapa final'!$AC$64="Mayor"),CONCATENATE("R9C",'Mapa final'!$Q$64),"")</f>
        <v/>
      </c>
      <c r="AH34" s="55" t="str">
        <f>IF(AND('Mapa final'!$AA$59="Media",'Mapa final'!$AC$59="Catastrófico"),CONCATENATE("R9C",'Mapa final'!$Q$59),"")</f>
        <v/>
      </c>
      <c r="AI34" s="56" t="str">
        <f>IF(AND('Mapa final'!$AA$60="Media",'Mapa final'!$AC$60="Catastrófico"),CONCATENATE("R9C",'Mapa final'!$Q$60),"")</f>
        <v/>
      </c>
      <c r="AJ34" s="56" t="str">
        <f>IF(AND('Mapa final'!$AA$61="Media",'Mapa final'!$AC$61="Catastrófico"),CONCATENATE("R9C",'Mapa final'!$Q$61),"")</f>
        <v/>
      </c>
      <c r="AK34" s="56" t="str">
        <f>IF(AND('Mapa final'!$AA$62="Media",'Mapa final'!$AC$62="Catastrófico"),CONCATENATE("R9C",'Mapa final'!$Q$62),"")</f>
        <v/>
      </c>
      <c r="AL34" s="56" t="str">
        <f>IF(AND('Mapa final'!$AA$63="Media",'Mapa final'!$AC$63="Catastrófico"),CONCATENATE("R9C",'Mapa final'!$Q$63),"")</f>
        <v/>
      </c>
      <c r="AM34" s="57" t="str">
        <f>IF(AND('Mapa final'!$AA$64="Media",'Mapa final'!$AC$64="Catastrófico"),CONCATENATE("R9C",'Mapa final'!$Q$64),"")</f>
        <v/>
      </c>
      <c r="AN34" s="84"/>
      <c r="AO34" s="395"/>
      <c r="AP34" s="396"/>
      <c r="AQ34" s="396"/>
      <c r="AR34" s="396"/>
      <c r="AS34" s="396"/>
      <c r="AT34" s="397"/>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313"/>
      <c r="C35" s="313"/>
      <c r="D35" s="314"/>
      <c r="E35" s="357"/>
      <c r="F35" s="358"/>
      <c r="G35" s="358"/>
      <c r="H35" s="358"/>
      <c r="I35" s="359"/>
      <c r="J35" s="68" t="str">
        <f>IF(AND('Mapa final'!$AA$65="Media",'Mapa final'!$AC$65="Leve"),CONCATENATE("R10C",'Mapa final'!$Q$65),"")</f>
        <v/>
      </c>
      <c r="K35" s="69" t="str">
        <f>IF(AND('Mapa final'!$AA$66="Media",'Mapa final'!$AC$66="Leve"),CONCATENATE("R10C",'Mapa final'!$Q$66),"")</f>
        <v/>
      </c>
      <c r="L35" s="69" t="str">
        <f>IF(AND('Mapa final'!$AA$67="Media",'Mapa final'!$AC$67="Leve"),CONCATENATE("R10C",'Mapa final'!$Q$67),"")</f>
        <v/>
      </c>
      <c r="M35" s="69" t="str">
        <f>IF(AND('Mapa final'!$AA$68="Media",'Mapa final'!$AC$68="Leve"),CONCATENATE("R10C",'Mapa final'!$Q$68),"")</f>
        <v/>
      </c>
      <c r="N35" s="69" t="str">
        <f>IF(AND('Mapa final'!$AA$69="Media",'Mapa final'!$AC$69="Leve"),CONCATENATE("R10C",'Mapa final'!$Q$69),"")</f>
        <v/>
      </c>
      <c r="O35" s="70" t="str">
        <f>IF(AND('Mapa final'!$AA$70="Media",'Mapa final'!$AC$70="Leve"),CONCATENATE("R10C",'Mapa final'!$Q$70),"")</f>
        <v/>
      </c>
      <c r="P35" s="68" t="str">
        <f>IF(AND('Mapa final'!$AA$65="Media",'Mapa final'!$AC$65="Menor"),CONCATENATE("R10C",'Mapa final'!$Q$65),"")</f>
        <v/>
      </c>
      <c r="Q35" s="69" t="str">
        <f>IF(AND('Mapa final'!$AA$66="Media",'Mapa final'!$AC$66="Menor"),CONCATENATE("R10C",'Mapa final'!$Q$66),"")</f>
        <v/>
      </c>
      <c r="R35" s="69" t="str">
        <f>IF(AND('Mapa final'!$AA$67="Media",'Mapa final'!$AC$67="Menor"),CONCATENATE("R10C",'Mapa final'!$Q$67),"")</f>
        <v/>
      </c>
      <c r="S35" s="69" t="str">
        <f>IF(AND('Mapa final'!$AA$68="Media",'Mapa final'!$AC$68="Menor"),CONCATENATE("R10C",'Mapa final'!$Q$68),"")</f>
        <v/>
      </c>
      <c r="T35" s="69" t="str">
        <f>IF(AND('Mapa final'!$AA$69="Media",'Mapa final'!$AC$69="Menor"),CONCATENATE("R10C",'Mapa final'!$Q$69),"")</f>
        <v/>
      </c>
      <c r="U35" s="70" t="str">
        <f>IF(AND('Mapa final'!$AA$70="Media",'Mapa final'!$AC$70="Menor"),CONCATENATE("R10C",'Mapa final'!$Q$70),"")</f>
        <v/>
      </c>
      <c r="V35" s="68" t="str">
        <f>IF(AND('Mapa final'!$AA$65="Media",'Mapa final'!$AC$65="Moderado"),CONCATENATE("R10C",'Mapa final'!$Q$65),"")</f>
        <v/>
      </c>
      <c r="W35" s="69" t="str">
        <f>IF(AND('Mapa final'!$AA$66="Media",'Mapa final'!$AC$66="Moderado"),CONCATENATE("R10C",'Mapa final'!$Q$66),"")</f>
        <v/>
      </c>
      <c r="X35" s="69" t="str">
        <f>IF(AND('Mapa final'!$AA$67="Media",'Mapa final'!$AC$67="Moderado"),CONCATENATE("R10C",'Mapa final'!$Q$67),"")</f>
        <v/>
      </c>
      <c r="Y35" s="69" t="str">
        <f>IF(AND('Mapa final'!$AA$68="Media",'Mapa final'!$AC$68="Moderado"),CONCATENATE("R10C",'Mapa final'!$Q$68),"")</f>
        <v/>
      </c>
      <c r="Z35" s="69" t="str">
        <f>IF(AND('Mapa final'!$AA$69="Media",'Mapa final'!$AC$69="Moderado"),CONCATENATE("R10C",'Mapa final'!$Q$69),"")</f>
        <v/>
      </c>
      <c r="AA35" s="70" t="str">
        <f>IF(AND('Mapa final'!$AA$70="Media",'Mapa final'!$AC$70="Moderado"),CONCATENATE("R10C",'Mapa final'!$Q$70),"")</f>
        <v/>
      </c>
      <c r="AB35" s="59" t="str">
        <f>IF(AND('Mapa final'!$AA$65="Media",'Mapa final'!$AC$65="Mayor"),CONCATENATE("R10C",'Mapa final'!$Q$65),"")</f>
        <v/>
      </c>
      <c r="AC35" s="60" t="str">
        <f>IF(AND('Mapa final'!$AA$66="Media",'Mapa final'!$AC$66="Mayor"),CONCATENATE("R10C",'Mapa final'!$Q$66),"")</f>
        <v/>
      </c>
      <c r="AD35" s="60" t="str">
        <f>IF(AND('Mapa final'!$AA$67="Media",'Mapa final'!$AC$67="Mayor"),CONCATENATE("R10C",'Mapa final'!$Q$67),"")</f>
        <v/>
      </c>
      <c r="AE35" s="60" t="str">
        <f>IF(AND('Mapa final'!$AA$68="Media",'Mapa final'!$AC$68="Mayor"),CONCATENATE("R10C",'Mapa final'!$Q$68),"")</f>
        <v/>
      </c>
      <c r="AF35" s="60" t="str">
        <f>IF(AND('Mapa final'!$AA$69="Media",'Mapa final'!$AC$69="Mayor"),CONCATENATE("R10C",'Mapa final'!$Q$69),"")</f>
        <v/>
      </c>
      <c r="AG35" s="61" t="str">
        <f>IF(AND('Mapa final'!$AA$70="Media",'Mapa final'!$AC$70="Mayor"),CONCATENATE("R10C",'Mapa final'!$Q$70),"")</f>
        <v/>
      </c>
      <c r="AH35" s="62" t="str">
        <f>IF(AND('Mapa final'!$AA$65="Media",'Mapa final'!$AC$65="Catastrófico"),CONCATENATE("R10C",'Mapa final'!$Q$65),"")</f>
        <v/>
      </c>
      <c r="AI35" s="63" t="str">
        <f>IF(AND('Mapa final'!$AA$66="Media",'Mapa final'!$AC$66="Catastrófico"),CONCATENATE("R10C",'Mapa final'!$Q$66),"")</f>
        <v/>
      </c>
      <c r="AJ35" s="63" t="str">
        <f>IF(AND('Mapa final'!$AA$67="Media",'Mapa final'!$AC$67="Catastrófico"),CONCATENATE("R10C",'Mapa final'!$Q$67),"")</f>
        <v/>
      </c>
      <c r="AK35" s="63" t="str">
        <f>IF(AND('Mapa final'!$AA$68="Media",'Mapa final'!$AC$68="Catastrófico"),CONCATENATE("R10C",'Mapa final'!$Q$68),"")</f>
        <v/>
      </c>
      <c r="AL35" s="63" t="str">
        <f>IF(AND('Mapa final'!$AA$69="Media",'Mapa final'!$AC$69="Catastrófico"),CONCATENATE("R10C",'Mapa final'!$Q$69),"")</f>
        <v/>
      </c>
      <c r="AM35" s="64" t="str">
        <f>IF(AND('Mapa final'!$AA$70="Media",'Mapa final'!$AC$70="Catastrófico"),CONCATENATE("R10C",'Mapa final'!$Q$70),"")</f>
        <v/>
      </c>
      <c r="AN35" s="84"/>
      <c r="AO35" s="398"/>
      <c r="AP35" s="399"/>
      <c r="AQ35" s="399"/>
      <c r="AR35" s="399"/>
      <c r="AS35" s="399"/>
      <c r="AT35" s="400"/>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313"/>
      <c r="C36" s="313"/>
      <c r="D36" s="314"/>
      <c r="E36" s="351" t="s">
        <v>106</v>
      </c>
      <c r="F36" s="352"/>
      <c r="G36" s="352"/>
      <c r="H36" s="352"/>
      <c r="I36" s="352"/>
      <c r="J36" s="74" t="str">
        <f>IF(AND('Mapa final'!$AA$11="Baja",'Mapa final'!$AC$11="Leve"),CONCATENATE("R1C",'Mapa final'!$Q$11),"")</f>
        <v/>
      </c>
      <c r="K36" s="75" t="str">
        <f>IF(AND('Mapa final'!$AA$12="Baja",'Mapa final'!$AC$12="Leve"),CONCATENATE("R1C",'Mapa final'!$Q$12),"")</f>
        <v/>
      </c>
      <c r="L36" s="75" t="str">
        <f>IF(AND('Mapa final'!$AA$13="Baja",'Mapa final'!$AC$13="Leve"),CONCATENATE("R1C",'Mapa final'!$Q$13),"")</f>
        <v/>
      </c>
      <c r="M36" s="75" t="str">
        <f>IF(AND('Mapa final'!$AA$14="Baja",'Mapa final'!$AC$14="Leve"),CONCATENATE("R1C",'Mapa final'!$Q$14),"")</f>
        <v/>
      </c>
      <c r="N36" s="75" t="str">
        <f>IF(AND('Mapa final'!$AA$15="Baja",'Mapa final'!$AC$15="Leve"),CONCATENATE("R1C",'Mapa final'!$Q$15),"")</f>
        <v/>
      </c>
      <c r="O36" s="76" t="str">
        <f>IF(AND('Mapa final'!$AA$16="Baja",'Mapa final'!$AC$16="Leve"),CONCATENATE("R1C",'Mapa final'!$Q$16),"")</f>
        <v/>
      </c>
      <c r="P36" s="65" t="str">
        <f>IF(AND('Mapa final'!$AA$11="Baja",'Mapa final'!$AC$11="Menor"),CONCATENATE("R1C",'Mapa final'!$Q$11),"")</f>
        <v/>
      </c>
      <c r="Q36" s="66" t="str">
        <f>IF(AND('Mapa final'!$AA$12="Baja",'Mapa final'!$AC$12="Menor"),CONCATENATE("R1C",'Mapa final'!$Q$12),"")</f>
        <v/>
      </c>
      <c r="R36" s="66" t="str">
        <f>IF(AND('Mapa final'!$AA$13="Baja",'Mapa final'!$AC$13="Menor"),CONCATENATE("R1C",'Mapa final'!$Q$13),"")</f>
        <v/>
      </c>
      <c r="S36" s="66" t="str">
        <f>IF(AND('Mapa final'!$AA$14="Baja",'Mapa final'!$AC$14="Menor"),CONCATENATE("R1C",'Mapa final'!$Q$14),"")</f>
        <v/>
      </c>
      <c r="T36" s="66" t="str">
        <f>IF(AND('Mapa final'!$AA$15="Baja",'Mapa final'!$AC$15="Menor"),CONCATENATE("R1C",'Mapa final'!$Q$15),"")</f>
        <v/>
      </c>
      <c r="U36" s="67" t="str">
        <f>IF(AND('Mapa final'!$AA$16="Baja",'Mapa final'!$AC$16="Menor"),CONCATENATE("R1C",'Mapa final'!$Q$16),"")</f>
        <v/>
      </c>
      <c r="V36" s="65" t="str">
        <f>IF(AND('Mapa final'!$AA$11="Baja",'Mapa final'!$AC$11="Moderado"),CONCATENATE("R1C",'Mapa final'!$Q$11),"")</f>
        <v/>
      </c>
      <c r="W36" s="66" t="str">
        <f>IF(AND('Mapa final'!$AA$12="Baja",'Mapa final'!$AC$12="Moderado"),CONCATENATE("R1C",'Mapa final'!$Q$12),"")</f>
        <v/>
      </c>
      <c r="X36" s="66" t="str">
        <f>IF(AND('Mapa final'!$AA$13="Baja",'Mapa final'!$AC$13="Moderado"),CONCATENATE("R1C",'Mapa final'!$Q$13),"")</f>
        <v/>
      </c>
      <c r="Y36" s="66" t="str">
        <f>IF(AND('Mapa final'!$AA$14="Baja",'Mapa final'!$AC$14="Moderado"),CONCATENATE("R1C",'Mapa final'!$Q$14),"")</f>
        <v/>
      </c>
      <c r="Z36" s="66" t="str">
        <f>IF(AND('Mapa final'!$AA$15="Baja",'Mapa final'!$AC$15="Moderado"),CONCATENATE("R1C",'Mapa final'!$Q$15),"")</f>
        <v/>
      </c>
      <c r="AA36" s="67" t="str">
        <f>IF(AND('Mapa final'!$AA$16="Baja",'Mapa final'!$AC$16="Moderado"),CONCATENATE("R1C",'Mapa final'!$Q$16),"")</f>
        <v/>
      </c>
      <c r="AB36" s="46" t="str">
        <f>IF(AND('Mapa final'!$AA$11="Baja",'Mapa final'!$AC$11="Mayor"),CONCATENATE("R1C",'Mapa final'!$Q$11),"")</f>
        <v/>
      </c>
      <c r="AC36" s="47" t="str">
        <f>IF(AND('Mapa final'!$AA$12="Baja",'Mapa final'!$AC$12="Mayor"),CONCATENATE("R1C",'Mapa final'!$Q$12),"")</f>
        <v/>
      </c>
      <c r="AD36" s="47" t="str">
        <f>IF(AND('Mapa final'!$AA$13="Baja",'Mapa final'!$AC$13="Mayor"),CONCATENATE("R1C",'Mapa final'!$Q$13),"")</f>
        <v/>
      </c>
      <c r="AE36" s="47" t="str">
        <f>IF(AND('Mapa final'!$AA$14="Baja",'Mapa final'!$AC$14="Mayor"),CONCATENATE("R1C",'Mapa final'!$Q$14),"")</f>
        <v/>
      </c>
      <c r="AF36" s="47" t="str">
        <f>IF(AND('Mapa final'!$AA$15="Baja",'Mapa final'!$AC$15="Mayor"),CONCATENATE("R1C",'Mapa final'!$Q$15),"")</f>
        <v/>
      </c>
      <c r="AG36" s="48" t="str">
        <f>IF(AND('Mapa final'!$AA$16="Baja",'Mapa final'!$AC$16="Mayor"),CONCATENATE("R1C",'Mapa final'!$Q$16),"")</f>
        <v/>
      </c>
      <c r="AH36" s="49" t="str">
        <f>IF(AND('Mapa final'!$AA$11="Baja",'Mapa final'!$AC$11="Catastrófico"),CONCATENATE("R1C",'Mapa final'!$Q$11),"")</f>
        <v/>
      </c>
      <c r="AI36" s="50" t="str">
        <f>IF(AND('Mapa final'!$AA$12="Baja",'Mapa final'!$AC$12="Catastrófico"),CONCATENATE("R1C",'Mapa final'!$Q$12),"")</f>
        <v/>
      </c>
      <c r="AJ36" s="50" t="str">
        <f>IF(AND('Mapa final'!$AA$13="Baja",'Mapa final'!$AC$13="Catastrófico"),CONCATENATE("R1C",'Mapa final'!$Q$13),"")</f>
        <v/>
      </c>
      <c r="AK36" s="50" t="str">
        <f>IF(AND('Mapa final'!$AA$14="Baja",'Mapa final'!$AC$14="Catastrófico"),CONCATENATE("R1C",'Mapa final'!$Q$14),"")</f>
        <v/>
      </c>
      <c r="AL36" s="50" t="str">
        <f>IF(AND('Mapa final'!$AA$15="Baja",'Mapa final'!$AC$15="Catastrófico"),CONCATENATE("R1C",'Mapa final'!$Q$15),"")</f>
        <v/>
      </c>
      <c r="AM36" s="51" t="str">
        <f>IF(AND('Mapa final'!$AA$16="Baja",'Mapa final'!$AC$16="Catastrófico"),CONCATENATE("R1C",'Mapa final'!$Q$16),"")</f>
        <v/>
      </c>
      <c r="AN36" s="84"/>
      <c r="AO36" s="383" t="s">
        <v>79</v>
      </c>
      <c r="AP36" s="384"/>
      <c r="AQ36" s="384"/>
      <c r="AR36" s="384"/>
      <c r="AS36" s="384"/>
      <c r="AT36" s="385"/>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313"/>
      <c r="C37" s="313"/>
      <c r="D37" s="314"/>
      <c r="E37" s="370"/>
      <c r="F37" s="371"/>
      <c r="G37" s="371"/>
      <c r="H37" s="371"/>
      <c r="I37" s="371"/>
      <c r="J37" s="77" t="str">
        <f>IF(AND('Mapa final'!$AA$17="Baja",'Mapa final'!$AC$17="Leve"),CONCATENATE("R2C",'Mapa final'!$Q$17),"")</f>
        <v/>
      </c>
      <c r="K37" s="78" t="str">
        <f>IF(AND('Mapa final'!$AA$18="Baja",'Mapa final'!$AC$18="Leve"),CONCATENATE("R2C",'Mapa final'!$Q$18),"")</f>
        <v/>
      </c>
      <c r="L37" s="78" t="str">
        <f>IF(AND('Mapa final'!$AA$19="Baja",'Mapa final'!$AC$19="Leve"),CONCATENATE("R2C",'Mapa final'!$Q$19),"")</f>
        <v/>
      </c>
      <c r="M37" s="78" t="str">
        <f>IF(AND('Mapa final'!$AA$20="Baja",'Mapa final'!$AC$20="Leve"),CONCATENATE("R2C",'Mapa final'!$Q$20),"")</f>
        <v/>
      </c>
      <c r="N37" s="78" t="str">
        <f>IF(AND('Mapa final'!$AA$21="Baja",'Mapa final'!$AC$21="Leve"),CONCATENATE("R2C",'Mapa final'!$Q$21),"")</f>
        <v/>
      </c>
      <c r="O37" s="79" t="str">
        <f>IF(AND('Mapa final'!$AA$22="Baja",'Mapa final'!$AC$22="Leve"),CONCATENATE("R2C",'Mapa final'!$Q$22),"")</f>
        <v/>
      </c>
      <c r="P37" s="68" t="str">
        <f>IF(AND('Mapa final'!$AA$17="Baja",'Mapa final'!$AC$17="Menor"),CONCATENATE("R2C",'Mapa final'!$Q$17),"")</f>
        <v/>
      </c>
      <c r="Q37" s="69" t="str">
        <f>IF(AND('Mapa final'!$AA$18="Baja",'Mapa final'!$AC$18="Menor"),CONCATENATE("R2C",'Mapa final'!$Q$18),"")</f>
        <v/>
      </c>
      <c r="R37" s="69" t="str">
        <f>IF(AND('Mapa final'!$AA$19="Baja",'Mapa final'!$AC$19="Menor"),CONCATENATE("R2C",'Mapa final'!$Q$19),"")</f>
        <v/>
      </c>
      <c r="S37" s="69" t="str">
        <f>IF(AND('Mapa final'!$AA$20="Baja",'Mapa final'!$AC$20="Menor"),CONCATENATE("R2C",'Mapa final'!$Q$20),"")</f>
        <v/>
      </c>
      <c r="T37" s="69" t="str">
        <f>IF(AND('Mapa final'!$AA$21="Baja",'Mapa final'!$AC$21="Menor"),CONCATENATE("R2C",'Mapa final'!$Q$21),"")</f>
        <v/>
      </c>
      <c r="U37" s="70" t="str">
        <f>IF(AND('Mapa final'!$AA$22="Baja",'Mapa final'!$AC$22="Menor"),CONCATENATE("R2C",'Mapa final'!$Q$22),"")</f>
        <v/>
      </c>
      <c r="V37" s="68" t="str">
        <f>IF(AND('Mapa final'!$AA$17="Baja",'Mapa final'!$AC$17="Moderado"),CONCATENATE("R2C",'Mapa final'!$Q$17),"")</f>
        <v/>
      </c>
      <c r="W37" s="69" t="str">
        <f>IF(AND('Mapa final'!$AA$18="Baja",'Mapa final'!$AC$18="Moderado"),CONCATENATE("R2C",'Mapa final'!$Q$18),"")</f>
        <v/>
      </c>
      <c r="X37" s="69" t="str">
        <f>IF(AND('Mapa final'!$AA$19="Baja",'Mapa final'!$AC$19="Moderado"),CONCATENATE("R2C",'Mapa final'!$Q$19),"")</f>
        <v/>
      </c>
      <c r="Y37" s="69" t="str">
        <f>IF(AND('Mapa final'!$AA$20="Baja",'Mapa final'!$AC$20="Moderado"),CONCATENATE("R2C",'Mapa final'!$Q$20),"")</f>
        <v/>
      </c>
      <c r="Z37" s="69" t="str">
        <f>IF(AND('Mapa final'!$AA$21="Baja",'Mapa final'!$AC$21="Moderado"),CONCATENATE("R2C",'Mapa final'!$Q$21),"")</f>
        <v/>
      </c>
      <c r="AA37" s="70" t="str">
        <f>IF(AND('Mapa final'!$AA$22="Baja",'Mapa final'!$AC$22="Moderado"),CONCATENATE("R2C",'Mapa final'!$Q$22),"")</f>
        <v/>
      </c>
      <c r="AB37" s="52" t="str">
        <f>IF(AND('Mapa final'!$AA$17="Baja",'Mapa final'!$AC$17="Mayor"),CONCATENATE("R2C",'Mapa final'!$Q$17),"")</f>
        <v/>
      </c>
      <c r="AC37" s="53" t="str">
        <f>IF(AND('Mapa final'!$AA$18="Baja",'Mapa final'!$AC$18="Mayor"),CONCATENATE("R2C",'Mapa final'!$Q$18),"")</f>
        <v/>
      </c>
      <c r="AD37" s="53" t="str">
        <f>IF(AND('Mapa final'!$AA$19="Baja",'Mapa final'!$AC$19="Mayor"),CONCATENATE("R2C",'Mapa final'!$Q$19),"")</f>
        <v/>
      </c>
      <c r="AE37" s="53" t="str">
        <f>IF(AND('Mapa final'!$AA$20="Baja",'Mapa final'!$AC$20="Mayor"),CONCATENATE("R2C",'Mapa final'!$Q$20),"")</f>
        <v/>
      </c>
      <c r="AF37" s="53" t="str">
        <f>IF(AND('Mapa final'!$AA$21="Baja",'Mapa final'!$AC$21="Mayor"),CONCATENATE("R2C",'Mapa final'!$Q$21),"")</f>
        <v/>
      </c>
      <c r="AG37" s="54" t="str">
        <f>IF(AND('Mapa final'!$AA$22="Baja",'Mapa final'!$AC$22="Mayor"),CONCATENATE("R2C",'Mapa final'!$Q$22),"")</f>
        <v/>
      </c>
      <c r="AH37" s="55" t="str">
        <f>IF(AND('Mapa final'!$AA$17="Baja",'Mapa final'!$AC$17="Catastrófico"),CONCATENATE("R2C",'Mapa final'!$Q$17),"")</f>
        <v/>
      </c>
      <c r="AI37" s="56" t="str">
        <f>IF(AND('Mapa final'!$AA$18="Baja",'Mapa final'!$AC$18="Catastrófico"),CONCATENATE("R2C",'Mapa final'!$Q$18),"")</f>
        <v/>
      </c>
      <c r="AJ37" s="56" t="str">
        <f>IF(AND('Mapa final'!$AA$19="Baja",'Mapa final'!$AC$19="Catastrófico"),CONCATENATE("R2C",'Mapa final'!$Q$19),"")</f>
        <v/>
      </c>
      <c r="AK37" s="56" t="str">
        <f>IF(AND('Mapa final'!$AA$20="Baja",'Mapa final'!$AC$20="Catastrófico"),CONCATENATE("R2C",'Mapa final'!$Q$20),"")</f>
        <v/>
      </c>
      <c r="AL37" s="56" t="str">
        <f>IF(AND('Mapa final'!$AA$21="Baja",'Mapa final'!$AC$21="Catastrófico"),CONCATENATE("R2C",'Mapa final'!$Q$21),"")</f>
        <v/>
      </c>
      <c r="AM37" s="57" t="str">
        <f>IF(AND('Mapa final'!$AA$22="Baja",'Mapa final'!$AC$22="Catastrófico"),CONCATENATE("R2C",'Mapa final'!$Q$22),"")</f>
        <v/>
      </c>
      <c r="AN37" s="84"/>
      <c r="AO37" s="386"/>
      <c r="AP37" s="387"/>
      <c r="AQ37" s="387"/>
      <c r="AR37" s="387"/>
      <c r="AS37" s="387"/>
      <c r="AT37" s="388"/>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313"/>
      <c r="C38" s="313"/>
      <c r="D38" s="314"/>
      <c r="E38" s="354"/>
      <c r="F38" s="355"/>
      <c r="G38" s="355"/>
      <c r="H38" s="355"/>
      <c r="I38" s="371"/>
      <c r="J38" s="77" t="str">
        <f>IF(AND('Mapa final'!$AA$23="Baja",'Mapa final'!$AC$23="Leve"),CONCATENATE("R3C",'Mapa final'!$Q$23),"")</f>
        <v/>
      </c>
      <c r="K38" s="78" t="str">
        <f>IF(AND('Mapa final'!$AA$24="Baja",'Mapa final'!$AC$24="Leve"),CONCATENATE("R3C",'Mapa final'!$Q$24),"")</f>
        <v/>
      </c>
      <c r="L38" s="78" t="str">
        <f>IF(AND('Mapa final'!$AA$25="Baja",'Mapa final'!$AC$25="Leve"),CONCATENATE("R3C",'Mapa final'!$Q$25),"")</f>
        <v/>
      </c>
      <c r="M38" s="78" t="str">
        <f>IF(AND('Mapa final'!$AA$26="Baja",'Mapa final'!$AC$26="Leve"),CONCATENATE("R3C",'Mapa final'!$Q$26),"")</f>
        <v/>
      </c>
      <c r="N38" s="78" t="str">
        <f>IF(AND('Mapa final'!$AA$27="Baja",'Mapa final'!$AC$27="Leve"),CONCATENATE("R3C",'Mapa final'!$Q$27),"")</f>
        <v/>
      </c>
      <c r="O38" s="79" t="str">
        <f>IF(AND('Mapa final'!$AA$28="Baja",'Mapa final'!$AC$28="Leve"),CONCATENATE("R3C",'Mapa final'!$Q$28),"")</f>
        <v/>
      </c>
      <c r="P38" s="68" t="str">
        <f>IF(AND('Mapa final'!$AA$23="Baja",'Mapa final'!$AC$23="Menor"),CONCATENATE("R3C",'Mapa final'!$Q$23),"")</f>
        <v/>
      </c>
      <c r="Q38" s="69" t="str">
        <f>IF(AND('Mapa final'!$AA$24="Baja",'Mapa final'!$AC$24="Menor"),CONCATENATE("R3C",'Mapa final'!$Q$24),"")</f>
        <v/>
      </c>
      <c r="R38" s="69" t="str">
        <f>IF(AND('Mapa final'!$AA$25="Baja",'Mapa final'!$AC$25="Menor"),CONCATENATE("R3C",'Mapa final'!$Q$25),"")</f>
        <v/>
      </c>
      <c r="S38" s="69" t="str">
        <f>IF(AND('Mapa final'!$AA$26="Baja",'Mapa final'!$AC$26="Menor"),CONCATENATE("R3C",'Mapa final'!$Q$26),"")</f>
        <v/>
      </c>
      <c r="T38" s="69" t="str">
        <f>IF(AND('Mapa final'!$AA$27="Baja",'Mapa final'!$AC$27="Menor"),CONCATENATE("R3C",'Mapa final'!$Q$27),"")</f>
        <v/>
      </c>
      <c r="U38" s="70" t="str">
        <f>IF(AND('Mapa final'!$AA$28="Baja",'Mapa final'!$AC$28="Menor"),CONCATENATE("R3C",'Mapa final'!$Q$28),"")</f>
        <v/>
      </c>
      <c r="V38" s="68" t="str">
        <f>IF(AND('Mapa final'!$AA$23="Baja",'Mapa final'!$AC$23="Moderado"),CONCATENATE("R3C",'Mapa final'!$Q$23),"")</f>
        <v>R3C1</v>
      </c>
      <c r="W38" s="69" t="str">
        <f>IF(AND('Mapa final'!$AA$24="Baja",'Mapa final'!$AC$24="Moderado"),CONCATENATE("R3C",'Mapa final'!$Q$24),"")</f>
        <v/>
      </c>
      <c r="X38" s="69" t="str">
        <f>IF(AND('Mapa final'!$AA$25="Baja",'Mapa final'!$AC$25="Moderado"),CONCATENATE("R3C",'Mapa final'!$Q$25),"")</f>
        <v/>
      </c>
      <c r="Y38" s="69" t="str">
        <f>IF(AND('Mapa final'!$AA$26="Baja",'Mapa final'!$AC$26="Moderado"),CONCATENATE("R3C",'Mapa final'!$Q$26),"")</f>
        <v/>
      </c>
      <c r="Z38" s="69" t="str">
        <f>IF(AND('Mapa final'!$AA$27="Baja",'Mapa final'!$AC$27="Moderado"),CONCATENATE("R3C",'Mapa final'!$Q$27),"")</f>
        <v/>
      </c>
      <c r="AA38" s="70" t="str">
        <f>IF(AND('Mapa final'!$AA$28="Baja",'Mapa final'!$AC$28="Moderado"),CONCATENATE("R3C",'Mapa final'!$Q$28),"")</f>
        <v/>
      </c>
      <c r="AB38" s="52" t="str">
        <f>IF(AND('Mapa final'!$AA$23="Baja",'Mapa final'!$AC$23="Mayor"),CONCATENATE("R3C",'Mapa final'!$Q$23),"")</f>
        <v/>
      </c>
      <c r="AC38" s="53" t="str">
        <f>IF(AND('Mapa final'!$AA$24="Baja",'Mapa final'!$AC$24="Mayor"),CONCATENATE("R3C",'Mapa final'!$Q$24),"")</f>
        <v/>
      </c>
      <c r="AD38" s="53" t="str">
        <f>IF(AND('Mapa final'!$AA$25="Baja",'Mapa final'!$AC$25="Mayor"),CONCATENATE("R3C",'Mapa final'!$Q$25),"")</f>
        <v/>
      </c>
      <c r="AE38" s="53" t="str">
        <f>IF(AND('Mapa final'!$AA$26="Baja",'Mapa final'!$AC$26="Mayor"),CONCATENATE("R3C",'Mapa final'!$Q$26),"")</f>
        <v/>
      </c>
      <c r="AF38" s="53" t="str">
        <f>IF(AND('Mapa final'!$AA$27="Baja",'Mapa final'!$AC$27="Mayor"),CONCATENATE("R3C",'Mapa final'!$Q$27),"")</f>
        <v/>
      </c>
      <c r="AG38" s="54" t="str">
        <f>IF(AND('Mapa final'!$AA$28="Baja",'Mapa final'!$AC$28="Mayor"),CONCATENATE("R3C",'Mapa final'!$Q$28),"")</f>
        <v/>
      </c>
      <c r="AH38" s="55" t="str">
        <f>IF(AND('Mapa final'!$AA$23="Baja",'Mapa final'!$AC$23="Catastrófico"),CONCATENATE("R3C",'Mapa final'!$Q$23),"")</f>
        <v/>
      </c>
      <c r="AI38" s="56" t="str">
        <f>IF(AND('Mapa final'!$AA$24="Baja",'Mapa final'!$AC$24="Catastrófico"),CONCATENATE("R3C",'Mapa final'!$Q$24),"")</f>
        <v/>
      </c>
      <c r="AJ38" s="56" t="str">
        <f>IF(AND('Mapa final'!$AA$25="Baja",'Mapa final'!$AC$25="Catastrófico"),CONCATENATE("R3C",'Mapa final'!$Q$25),"")</f>
        <v/>
      </c>
      <c r="AK38" s="56" t="str">
        <f>IF(AND('Mapa final'!$AA$26="Baja",'Mapa final'!$AC$26="Catastrófico"),CONCATENATE("R3C",'Mapa final'!$Q$26),"")</f>
        <v/>
      </c>
      <c r="AL38" s="56" t="str">
        <f>IF(AND('Mapa final'!$AA$27="Baja",'Mapa final'!$AC$27="Catastrófico"),CONCATENATE("R3C",'Mapa final'!$Q$27),"")</f>
        <v/>
      </c>
      <c r="AM38" s="57" t="str">
        <f>IF(AND('Mapa final'!$AA$28="Baja",'Mapa final'!$AC$28="Catastrófico"),CONCATENATE("R3C",'Mapa final'!$Q$28),"")</f>
        <v/>
      </c>
      <c r="AN38" s="84"/>
      <c r="AO38" s="386"/>
      <c r="AP38" s="387"/>
      <c r="AQ38" s="387"/>
      <c r="AR38" s="387"/>
      <c r="AS38" s="387"/>
      <c r="AT38" s="388"/>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313"/>
      <c r="C39" s="313"/>
      <c r="D39" s="314"/>
      <c r="E39" s="354"/>
      <c r="F39" s="355"/>
      <c r="G39" s="355"/>
      <c r="H39" s="355"/>
      <c r="I39" s="371"/>
      <c r="J39" s="77" t="str">
        <f>IF(AND('Mapa final'!$AA$29="Baja",'Mapa final'!$AC$29="Leve"),CONCATENATE("R4C",'Mapa final'!$Q$29),"")</f>
        <v/>
      </c>
      <c r="K39" s="78" t="str">
        <f>IF(AND('Mapa final'!$AA$30="Baja",'Mapa final'!$AC$30="Leve"),CONCATENATE("R4C",'Mapa final'!$Q$30),"")</f>
        <v/>
      </c>
      <c r="L39" s="78" t="str">
        <f>IF(AND('Mapa final'!$AA$31="Baja",'Mapa final'!$AC$31="Leve"),CONCATENATE("R4C",'Mapa final'!$Q$31),"")</f>
        <v/>
      </c>
      <c r="M39" s="78" t="str">
        <f>IF(AND('Mapa final'!$AA$32="Baja",'Mapa final'!$AC$32="Leve"),CONCATENATE("R4C",'Mapa final'!$Q$32),"")</f>
        <v/>
      </c>
      <c r="N39" s="78" t="str">
        <f>IF(AND('Mapa final'!$AA$33="Baja",'Mapa final'!$AC$33="Leve"),CONCATENATE("R4C",'Mapa final'!$Q$33),"")</f>
        <v/>
      </c>
      <c r="O39" s="79" t="str">
        <f>IF(AND('Mapa final'!$AA$34="Baja",'Mapa final'!$AC$34="Leve"),CONCATENATE("R4C",'Mapa final'!$Q$34),"")</f>
        <v/>
      </c>
      <c r="P39" s="68" t="str">
        <f>IF(AND('Mapa final'!$AA$29="Baja",'Mapa final'!$AC$29="Menor"),CONCATENATE("R4C",'Mapa final'!$Q$29),"")</f>
        <v/>
      </c>
      <c r="Q39" s="69" t="str">
        <f>IF(AND('Mapa final'!$AA$30="Baja",'Mapa final'!$AC$30="Menor"),CONCATENATE("R4C",'Mapa final'!$Q$30),"")</f>
        <v/>
      </c>
      <c r="R39" s="69" t="str">
        <f>IF(AND('Mapa final'!$AA$31="Baja",'Mapa final'!$AC$31="Menor"),CONCATENATE("R4C",'Mapa final'!$Q$31),"")</f>
        <v/>
      </c>
      <c r="S39" s="69" t="str">
        <f>IF(AND('Mapa final'!$AA$32="Baja",'Mapa final'!$AC$32="Menor"),CONCATENATE("R4C",'Mapa final'!$Q$32),"")</f>
        <v/>
      </c>
      <c r="T39" s="69" t="str">
        <f>IF(AND('Mapa final'!$AA$33="Baja",'Mapa final'!$AC$33="Menor"),CONCATENATE("R4C",'Mapa final'!$Q$33),"")</f>
        <v/>
      </c>
      <c r="U39" s="70" t="str">
        <f>IF(AND('Mapa final'!$AA$34="Baja",'Mapa final'!$AC$34="Menor"),CONCATENATE("R4C",'Mapa final'!$Q$34),"")</f>
        <v/>
      </c>
      <c r="V39" s="68" t="str">
        <f>IF(AND('Mapa final'!$AA$29="Baja",'Mapa final'!$AC$29="Moderado"),CONCATENATE("R4C",'Mapa final'!$Q$29),"")</f>
        <v/>
      </c>
      <c r="W39" s="69" t="str">
        <f>IF(AND('Mapa final'!$AA$30="Baja",'Mapa final'!$AC$30="Moderado"),CONCATENATE("R4C",'Mapa final'!$Q$30),"")</f>
        <v/>
      </c>
      <c r="X39" s="69" t="str">
        <f>IF(AND('Mapa final'!$AA$31="Baja",'Mapa final'!$AC$31="Moderado"),CONCATENATE("R4C",'Mapa final'!$Q$31),"")</f>
        <v/>
      </c>
      <c r="Y39" s="69" t="str">
        <f>IF(AND('Mapa final'!$AA$32="Baja",'Mapa final'!$AC$32="Moderado"),CONCATENATE("R4C",'Mapa final'!$Q$32),"")</f>
        <v/>
      </c>
      <c r="Z39" s="69" t="str">
        <f>IF(AND('Mapa final'!$AA$33="Baja",'Mapa final'!$AC$33="Moderado"),CONCATENATE("R4C",'Mapa final'!$Q$33),"")</f>
        <v/>
      </c>
      <c r="AA39" s="70" t="str">
        <f>IF(AND('Mapa final'!$AA$34="Baja",'Mapa final'!$AC$34="Moderado"),CONCATENATE("R4C",'Mapa final'!$Q$34),"")</f>
        <v/>
      </c>
      <c r="AB39" s="52" t="str">
        <f>IF(AND('Mapa final'!$AA$29="Baja",'Mapa final'!$AC$29="Mayor"),CONCATENATE("R4C",'Mapa final'!$Q$29),"")</f>
        <v/>
      </c>
      <c r="AC39" s="53" t="str">
        <f>IF(AND('Mapa final'!$AA$30="Baja",'Mapa final'!$AC$30="Mayor"),CONCATENATE("R4C",'Mapa final'!$Q$30),"")</f>
        <v/>
      </c>
      <c r="AD39" s="53" t="str">
        <f>IF(AND('Mapa final'!$AA$31="Baja",'Mapa final'!$AC$31="Mayor"),CONCATENATE("R4C",'Mapa final'!$Q$31),"")</f>
        <v/>
      </c>
      <c r="AE39" s="53" t="str">
        <f>IF(AND('Mapa final'!$AA$32="Baja",'Mapa final'!$AC$32="Mayor"),CONCATENATE("R4C",'Mapa final'!$Q$32),"")</f>
        <v/>
      </c>
      <c r="AF39" s="53" t="str">
        <f>IF(AND('Mapa final'!$AA$33="Baja",'Mapa final'!$AC$33="Mayor"),CONCATENATE("R4C",'Mapa final'!$Q$33),"")</f>
        <v/>
      </c>
      <c r="AG39" s="54" t="str">
        <f>IF(AND('Mapa final'!$AA$34="Baja",'Mapa final'!$AC$34="Mayor"),CONCATENATE("R4C",'Mapa final'!$Q$34),"")</f>
        <v/>
      </c>
      <c r="AH39" s="55" t="str">
        <f>IF(AND('Mapa final'!$AA$29="Baja",'Mapa final'!$AC$29="Catastrófico"),CONCATENATE("R4C",'Mapa final'!$Q$29),"")</f>
        <v/>
      </c>
      <c r="AI39" s="56" t="str">
        <f>IF(AND('Mapa final'!$AA$30="Baja",'Mapa final'!$AC$30="Catastrófico"),CONCATENATE("R4C",'Mapa final'!$Q$30),"")</f>
        <v/>
      </c>
      <c r="AJ39" s="56" t="str">
        <f>IF(AND('Mapa final'!$AA$31="Baja",'Mapa final'!$AC$31="Catastrófico"),CONCATENATE("R4C",'Mapa final'!$Q$31),"")</f>
        <v/>
      </c>
      <c r="AK39" s="56" t="str">
        <f>IF(AND('Mapa final'!$AA$32="Baja",'Mapa final'!$AC$32="Catastrófico"),CONCATENATE("R4C",'Mapa final'!$Q$32),"")</f>
        <v/>
      </c>
      <c r="AL39" s="56" t="str">
        <f>IF(AND('Mapa final'!$AA$33="Baja",'Mapa final'!$AC$33="Catastrófico"),CONCATENATE("R4C",'Mapa final'!$Q$33),"")</f>
        <v/>
      </c>
      <c r="AM39" s="57" t="str">
        <f>IF(AND('Mapa final'!$AA$34="Baja",'Mapa final'!$AC$34="Catastrófico"),CONCATENATE("R4C",'Mapa final'!$Q$34),"")</f>
        <v/>
      </c>
      <c r="AN39" s="84"/>
      <c r="AO39" s="386"/>
      <c r="AP39" s="387"/>
      <c r="AQ39" s="387"/>
      <c r="AR39" s="387"/>
      <c r="AS39" s="387"/>
      <c r="AT39" s="388"/>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313"/>
      <c r="C40" s="313"/>
      <c r="D40" s="314"/>
      <c r="E40" s="354"/>
      <c r="F40" s="355"/>
      <c r="G40" s="355"/>
      <c r="H40" s="355"/>
      <c r="I40" s="371"/>
      <c r="J40" s="77" t="str">
        <f>IF(AND('Mapa final'!$AA$35="Baja",'Mapa final'!$AC$35="Leve"),CONCATENATE("R5C",'Mapa final'!$Q$35),"")</f>
        <v/>
      </c>
      <c r="K40" s="78" t="str">
        <f>IF(AND('Mapa final'!$AA$36="Baja",'Mapa final'!$AC$36="Leve"),CONCATENATE("R5C",'Mapa final'!$Q$36),"")</f>
        <v/>
      </c>
      <c r="L40" s="78" t="str">
        <f>IF(AND('Mapa final'!$AA$37="Baja",'Mapa final'!$AC$37="Leve"),CONCATENATE("R5C",'Mapa final'!$Q$37),"")</f>
        <v/>
      </c>
      <c r="M40" s="78" t="str">
        <f>IF(AND('Mapa final'!$AA$38="Baja",'Mapa final'!$AC$38="Leve"),CONCATENATE("R5C",'Mapa final'!$Q$38),"")</f>
        <v/>
      </c>
      <c r="N40" s="78" t="str">
        <f>IF(AND('Mapa final'!$AA$39="Baja",'Mapa final'!$AC$39="Leve"),CONCATENATE("R5C",'Mapa final'!$Q$39),"")</f>
        <v/>
      </c>
      <c r="O40" s="79" t="str">
        <f>IF(AND('Mapa final'!$AA$40="Baja",'Mapa final'!$AC$40="Leve"),CONCATENATE("R5C",'Mapa final'!$Q$40),"")</f>
        <v/>
      </c>
      <c r="P40" s="68" t="str">
        <f>IF(AND('Mapa final'!$AA$35="Baja",'Mapa final'!$AC$35="Menor"),CONCATENATE("R5C",'Mapa final'!$Q$35),"")</f>
        <v/>
      </c>
      <c r="Q40" s="69" t="str">
        <f>IF(AND('Mapa final'!$AA$36="Baja",'Mapa final'!$AC$36="Menor"),CONCATENATE("R5C",'Mapa final'!$Q$36),"")</f>
        <v/>
      </c>
      <c r="R40" s="69" t="str">
        <f>IF(AND('Mapa final'!$AA$37="Baja",'Mapa final'!$AC$37="Menor"),CONCATENATE("R5C",'Mapa final'!$Q$37),"")</f>
        <v/>
      </c>
      <c r="S40" s="69" t="str">
        <f>IF(AND('Mapa final'!$AA$38="Baja",'Mapa final'!$AC$38="Menor"),CONCATENATE("R5C",'Mapa final'!$Q$38),"")</f>
        <v/>
      </c>
      <c r="T40" s="69" t="str">
        <f>IF(AND('Mapa final'!$AA$39="Baja",'Mapa final'!$AC$39="Menor"),CONCATENATE("R5C",'Mapa final'!$Q$39),"")</f>
        <v/>
      </c>
      <c r="U40" s="70" t="str">
        <f>IF(AND('Mapa final'!$AA$40="Baja",'Mapa final'!$AC$40="Menor"),CONCATENATE("R5C",'Mapa final'!$Q$40),"")</f>
        <v/>
      </c>
      <c r="V40" s="68" t="str">
        <f>IF(AND('Mapa final'!$AA$35="Baja",'Mapa final'!$AC$35="Moderado"),CONCATENATE("R5C",'Mapa final'!$Q$35),"")</f>
        <v/>
      </c>
      <c r="W40" s="69" t="str">
        <f>IF(AND('Mapa final'!$AA$36="Baja",'Mapa final'!$AC$36="Moderado"),CONCATENATE("R5C",'Mapa final'!$Q$36),"")</f>
        <v/>
      </c>
      <c r="X40" s="69" t="str">
        <f>IF(AND('Mapa final'!$AA$37="Baja",'Mapa final'!$AC$37="Moderado"),CONCATENATE("R5C",'Mapa final'!$Q$37),"")</f>
        <v/>
      </c>
      <c r="Y40" s="69" t="str">
        <f>IF(AND('Mapa final'!$AA$38="Baja",'Mapa final'!$AC$38="Moderado"),CONCATENATE("R5C",'Mapa final'!$Q$38),"")</f>
        <v/>
      </c>
      <c r="Z40" s="69" t="str">
        <f>IF(AND('Mapa final'!$AA$39="Baja",'Mapa final'!$AC$39="Moderado"),CONCATENATE("R5C",'Mapa final'!$Q$39),"")</f>
        <v/>
      </c>
      <c r="AA40" s="70" t="str">
        <f>IF(AND('Mapa final'!$AA$40="Baja",'Mapa final'!$AC$40="Moderado"),CONCATENATE("R5C",'Mapa final'!$Q$40),"")</f>
        <v/>
      </c>
      <c r="AB40" s="52" t="str">
        <f>IF(AND('Mapa final'!$AA$35="Baja",'Mapa final'!$AC$35="Mayor"),CONCATENATE("R5C",'Mapa final'!$Q$35),"")</f>
        <v/>
      </c>
      <c r="AC40" s="53" t="str">
        <f>IF(AND('Mapa final'!$AA$36="Baja",'Mapa final'!$AC$36="Mayor"),CONCATENATE("R5C",'Mapa final'!$Q$36),"")</f>
        <v/>
      </c>
      <c r="AD40" s="58" t="str">
        <f>IF(AND('Mapa final'!$AA$37="Baja",'Mapa final'!$AC$37="Mayor"),CONCATENATE("R5C",'Mapa final'!$Q$37),"")</f>
        <v/>
      </c>
      <c r="AE40" s="58" t="str">
        <f>IF(AND('Mapa final'!$AA$38="Baja",'Mapa final'!$AC$38="Mayor"),CONCATENATE("R5C",'Mapa final'!$Q$38),"")</f>
        <v/>
      </c>
      <c r="AF40" s="58" t="str">
        <f>IF(AND('Mapa final'!$AA$39="Baja",'Mapa final'!$AC$39="Mayor"),CONCATENATE("R5C",'Mapa final'!$Q$39),"")</f>
        <v/>
      </c>
      <c r="AG40" s="54" t="str">
        <f>IF(AND('Mapa final'!$AA$40="Baja",'Mapa final'!$AC$40="Mayor"),CONCATENATE("R5C",'Mapa final'!$Q$40),"")</f>
        <v/>
      </c>
      <c r="AH40" s="55" t="str">
        <f>IF(AND('Mapa final'!$AA$35="Baja",'Mapa final'!$AC$35="Catastrófico"),CONCATENATE("R5C",'Mapa final'!$Q$35),"")</f>
        <v/>
      </c>
      <c r="AI40" s="56" t="str">
        <f>IF(AND('Mapa final'!$AA$36="Baja",'Mapa final'!$AC$36="Catastrófico"),CONCATENATE("R5C",'Mapa final'!$Q$36),"")</f>
        <v/>
      </c>
      <c r="AJ40" s="56" t="str">
        <f>IF(AND('Mapa final'!$AA$37="Baja",'Mapa final'!$AC$37="Catastrófico"),CONCATENATE("R5C",'Mapa final'!$Q$37),"")</f>
        <v/>
      </c>
      <c r="AK40" s="56" t="str">
        <f>IF(AND('Mapa final'!$AA$38="Baja",'Mapa final'!$AC$38="Catastrófico"),CONCATENATE("R5C",'Mapa final'!$Q$38),"")</f>
        <v/>
      </c>
      <c r="AL40" s="56" t="str">
        <f>IF(AND('Mapa final'!$AA$39="Baja",'Mapa final'!$AC$39="Catastrófico"),CONCATENATE("R5C",'Mapa final'!$Q$39),"")</f>
        <v/>
      </c>
      <c r="AM40" s="57" t="str">
        <f>IF(AND('Mapa final'!$AA$40="Baja",'Mapa final'!$AC$40="Catastrófico"),CONCATENATE("R5C",'Mapa final'!$Q$40),"")</f>
        <v/>
      </c>
      <c r="AN40" s="84"/>
      <c r="AO40" s="386"/>
      <c r="AP40" s="387"/>
      <c r="AQ40" s="387"/>
      <c r="AR40" s="387"/>
      <c r="AS40" s="387"/>
      <c r="AT40" s="388"/>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313"/>
      <c r="C41" s="313"/>
      <c r="D41" s="314"/>
      <c r="E41" s="354"/>
      <c r="F41" s="355"/>
      <c r="G41" s="355"/>
      <c r="H41" s="355"/>
      <c r="I41" s="371"/>
      <c r="J41" s="77" t="str">
        <f>IF(AND('Mapa final'!$AA$41="Baja",'Mapa final'!$AC$41="Leve"),CONCATENATE("R6C",'Mapa final'!$Q$41),"")</f>
        <v/>
      </c>
      <c r="K41" s="78" t="str">
        <f>IF(AND('Mapa final'!$AA$42="Baja",'Mapa final'!$AC$42="Leve"),CONCATENATE("R6C",'Mapa final'!$Q$42),"")</f>
        <v/>
      </c>
      <c r="L41" s="78" t="str">
        <f>IF(AND('Mapa final'!$AA$43="Baja",'Mapa final'!$AC$43="Leve"),CONCATENATE("R6C",'Mapa final'!$Q$43),"")</f>
        <v/>
      </c>
      <c r="M41" s="78" t="str">
        <f>IF(AND('Mapa final'!$AA$44="Baja",'Mapa final'!$AC$44="Leve"),CONCATENATE("R6C",'Mapa final'!$Q$44),"")</f>
        <v/>
      </c>
      <c r="N41" s="78" t="str">
        <f>IF(AND('Mapa final'!$AA$45="Baja",'Mapa final'!$AC$45="Leve"),CONCATENATE("R6C",'Mapa final'!$Q$45),"")</f>
        <v/>
      </c>
      <c r="O41" s="79" t="str">
        <f>IF(AND('Mapa final'!$AA$46="Baja",'Mapa final'!$AC$46="Leve"),CONCATENATE("R6C",'Mapa final'!$Q$46),"")</f>
        <v/>
      </c>
      <c r="P41" s="68" t="str">
        <f>IF(AND('Mapa final'!$AA$41="Baja",'Mapa final'!$AC$41="Menor"),CONCATENATE("R6C",'Mapa final'!$Q$41),"")</f>
        <v/>
      </c>
      <c r="Q41" s="69" t="str">
        <f>IF(AND('Mapa final'!$AA$42="Baja",'Mapa final'!$AC$42="Menor"),CONCATENATE("R6C",'Mapa final'!$Q$42),"")</f>
        <v/>
      </c>
      <c r="R41" s="69" t="str">
        <f>IF(AND('Mapa final'!$AA$43="Baja",'Mapa final'!$AC$43="Menor"),CONCATENATE("R6C",'Mapa final'!$Q$43),"")</f>
        <v/>
      </c>
      <c r="S41" s="69" t="str">
        <f>IF(AND('Mapa final'!$AA$44="Baja",'Mapa final'!$AC$44="Menor"),CONCATENATE("R6C",'Mapa final'!$Q$44),"")</f>
        <v/>
      </c>
      <c r="T41" s="69" t="str">
        <f>IF(AND('Mapa final'!$AA$45="Baja",'Mapa final'!$AC$45="Menor"),CONCATENATE("R6C",'Mapa final'!$Q$45),"")</f>
        <v/>
      </c>
      <c r="U41" s="70" t="str">
        <f>IF(AND('Mapa final'!$AA$46="Baja",'Mapa final'!$AC$46="Menor"),CONCATENATE("R6C",'Mapa final'!$Q$46),"")</f>
        <v/>
      </c>
      <c r="V41" s="68" t="str">
        <f>IF(AND('Mapa final'!$AA$41="Baja",'Mapa final'!$AC$41="Moderado"),CONCATENATE("R6C",'Mapa final'!$Q$41),"")</f>
        <v/>
      </c>
      <c r="W41" s="69" t="str">
        <f>IF(AND('Mapa final'!$AA$42="Baja",'Mapa final'!$AC$42="Moderado"),CONCATENATE("R6C",'Mapa final'!$Q$42),"")</f>
        <v/>
      </c>
      <c r="X41" s="69" t="str">
        <f>IF(AND('Mapa final'!$AA$43="Baja",'Mapa final'!$AC$43="Moderado"),CONCATENATE("R6C",'Mapa final'!$Q$43),"")</f>
        <v/>
      </c>
      <c r="Y41" s="69" t="str">
        <f>IF(AND('Mapa final'!$AA$44="Baja",'Mapa final'!$AC$44="Moderado"),CONCATENATE("R6C",'Mapa final'!$Q$44),"")</f>
        <v/>
      </c>
      <c r="Z41" s="69" t="str">
        <f>IF(AND('Mapa final'!$AA$45="Baja",'Mapa final'!$AC$45="Moderado"),CONCATENATE("R6C",'Mapa final'!$Q$45),"")</f>
        <v/>
      </c>
      <c r="AA41" s="70" t="str">
        <f>IF(AND('Mapa final'!$AA$46="Baja",'Mapa final'!$AC$46="Moderado"),CONCATENATE("R6C",'Mapa final'!$Q$46),"")</f>
        <v/>
      </c>
      <c r="AB41" s="52" t="str">
        <f>IF(AND('Mapa final'!$AA$41="Baja",'Mapa final'!$AC$41="Mayor"),CONCATENATE("R6C",'Mapa final'!$Q$41),"")</f>
        <v/>
      </c>
      <c r="AC41" s="53" t="str">
        <f>IF(AND('Mapa final'!$AA$42="Baja",'Mapa final'!$AC$42="Mayor"),CONCATENATE("R6C",'Mapa final'!$Q$42),"")</f>
        <v/>
      </c>
      <c r="AD41" s="58" t="str">
        <f>IF(AND('Mapa final'!$AA$43="Baja",'Mapa final'!$AC$43="Mayor"),CONCATENATE("R6C",'Mapa final'!$Q$43),"")</f>
        <v/>
      </c>
      <c r="AE41" s="58" t="str">
        <f>IF(AND('Mapa final'!$AA$44="Baja",'Mapa final'!$AC$44="Mayor"),CONCATENATE("R6C",'Mapa final'!$Q$44),"")</f>
        <v/>
      </c>
      <c r="AF41" s="58" t="str">
        <f>IF(AND('Mapa final'!$AA$45="Baja",'Mapa final'!$AC$45="Mayor"),CONCATENATE("R6C",'Mapa final'!$Q$45),"")</f>
        <v/>
      </c>
      <c r="AG41" s="54" t="str">
        <f>IF(AND('Mapa final'!$AA$46="Baja",'Mapa final'!$AC$46="Mayor"),CONCATENATE("R6C",'Mapa final'!$Q$46),"")</f>
        <v/>
      </c>
      <c r="AH41" s="55" t="str">
        <f>IF(AND('Mapa final'!$AA$41="Baja",'Mapa final'!$AC$41="Catastrófico"),CONCATENATE("R6C",'Mapa final'!$Q$41),"")</f>
        <v/>
      </c>
      <c r="AI41" s="56" t="str">
        <f>IF(AND('Mapa final'!$AA$42="Baja",'Mapa final'!$AC$42="Catastrófico"),CONCATENATE("R6C",'Mapa final'!$Q$42),"")</f>
        <v/>
      </c>
      <c r="AJ41" s="56" t="str">
        <f>IF(AND('Mapa final'!$AA$43="Baja",'Mapa final'!$AC$43="Catastrófico"),CONCATENATE("R6C",'Mapa final'!$Q$43),"")</f>
        <v/>
      </c>
      <c r="AK41" s="56" t="str">
        <f>IF(AND('Mapa final'!$AA$44="Baja",'Mapa final'!$AC$44="Catastrófico"),CONCATENATE("R6C",'Mapa final'!$Q$44),"")</f>
        <v/>
      </c>
      <c r="AL41" s="56" t="str">
        <f>IF(AND('Mapa final'!$AA$45="Baja",'Mapa final'!$AC$45="Catastrófico"),CONCATENATE("R6C",'Mapa final'!$Q$45),"")</f>
        <v/>
      </c>
      <c r="AM41" s="57" t="str">
        <f>IF(AND('Mapa final'!$AA$46="Baja",'Mapa final'!$AC$46="Catastrófico"),CONCATENATE("R6C",'Mapa final'!$Q$46),"")</f>
        <v/>
      </c>
      <c r="AN41" s="84"/>
      <c r="AO41" s="386"/>
      <c r="AP41" s="387"/>
      <c r="AQ41" s="387"/>
      <c r="AR41" s="387"/>
      <c r="AS41" s="387"/>
      <c r="AT41" s="388"/>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313"/>
      <c r="C42" s="313"/>
      <c r="D42" s="314"/>
      <c r="E42" s="354"/>
      <c r="F42" s="355"/>
      <c r="G42" s="355"/>
      <c r="H42" s="355"/>
      <c r="I42" s="371"/>
      <c r="J42" s="77" t="str">
        <f>IF(AND('Mapa final'!$AA$47="Baja",'Mapa final'!$AC$47="Leve"),CONCATENATE("R7C",'Mapa final'!$Q$47),"")</f>
        <v/>
      </c>
      <c r="K42" s="78" t="str">
        <f>IF(AND('Mapa final'!$AA$48="Baja",'Mapa final'!$AC$48="Leve"),CONCATENATE("R7C",'Mapa final'!$Q$48),"")</f>
        <v/>
      </c>
      <c r="L42" s="78" t="str">
        <f>IF(AND('Mapa final'!$AA$49="Baja",'Mapa final'!$AC$49="Leve"),CONCATENATE("R7C",'Mapa final'!$Q$49),"")</f>
        <v/>
      </c>
      <c r="M42" s="78" t="str">
        <f>IF(AND('Mapa final'!$AA$50="Baja",'Mapa final'!$AC$50="Leve"),CONCATENATE("R7C",'Mapa final'!$Q$50),"")</f>
        <v/>
      </c>
      <c r="N42" s="78" t="str">
        <f>IF(AND('Mapa final'!$AA$51="Baja",'Mapa final'!$AC$51="Leve"),CONCATENATE("R7C",'Mapa final'!$Q$51),"")</f>
        <v/>
      </c>
      <c r="O42" s="79" t="str">
        <f>IF(AND('Mapa final'!$AA$52="Baja",'Mapa final'!$AC$52="Leve"),CONCATENATE("R7C",'Mapa final'!$Q$52),"")</f>
        <v/>
      </c>
      <c r="P42" s="68" t="str">
        <f>IF(AND('Mapa final'!$AA$47="Baja",'Mapa final'!$AC$47="Menor"),CONCATENATE("R7C",'Mapa final'!$Q$47),"")</f>
        <v/>
      </c>
      <c r="Q42" s="69" t="str">
        <f>IF(AND('Mapa final'!$AA$48="Baja",'Mapa final'!$AC$48="Menor"),CONCATENATE("R7C",'Mapa final'!$Q$48),"")</f>
        <v/>
      </c>
      <c r="R42" s="69" t="str">
        <f>IF(AND('Mapa final'!$AA$49="Baja",'Mapa final'!$AC$49="Menor"),CONCATENATE("R7C",'Mapa final'!$Q$49),"")</f>
        <v/>
      </c>
      <c r="S42" s="69" t="str">
        <f>IF(AND('Mapa final'!$AA$50="Baja",'Mapa final'!$AC$50="Menor"),CONCATENATE("R7C",'Mapa final'!$Q$50),"")</f>
        <v/>
      </c>
      <c r="T42" s="69" t="str">
        <f>IF(AND('Mapa final'!$AA$51="Baja",'Mapa final'!$AC$51="Menor"),CONCATENATE("R7C",'Mapa final'!$Q$51),"")</f>
        <v/>
      </c>
      <c r="U42" s="70" t="str">
        <f>IF(AND('Mapa final'!$AA$52="Baja",'Mapa final'!$AC$52="Menor"),CONCATENATE("R7C",'Mapa final'!$Q$52),"")</f>
        <v/>
      </c>
      <c r="V42" s="68" t="str">
        <f>IF(AND('Mapa final'!$AA$47="Baja",'Mapa final'!$AC$47="Moderado"),CONCATENATE("R7C",'Mapa final'!$Q$47),"")</f>
        <v/>
      </c>
      <c r="W42" s="69" t="str">
        <f>IF(AND('Mapa final'!$AA$48="Baja",'Mapa final'!$AC$48="Moderado"),CONCATENATE("R7C",'Mapa final'!$Q$48),"")</f>
        <v/>
      </c>
      <c r="X42" s="69" t="str">
        <f>IF(AND('Mapa final'!$AA$49="Baja",'Mapa final'!$AC$49="Moderado"),CONCATENATE("R7C",'Mapa final'!$Q$49),"")</f>
        <v/>
      </c>
      <c r="Y42" s="69" t="str">
        <f>IF(AND('Mapa final'!$AA$50="Baja",'Mapa final'!$AC$50="Moderado"),CONCATENATE("R7C",'Mapa final'!$Q$50),"")</f>
        <v/>
      </c>
      <c r="Z42" s="69" t="str">
        <f>IF(AND('Mapa final'!$AA$51="Baja",'Mapa final'!$AC$51="Moderado"),CONCATENATE("R7C",'Mapa final'!$Q$51),"")</f>
        <v/>
      </c>
      <c r="AA42" s="70" t="str">
        <f>IF(AND('Mapa final'!$AA$52="Baja",'Mapa final'!$AC$52="Moderado"),CONCATENATE("R7C",'Mapa final'!$Q$52),"")</f>
        <v/>
      </c>
      <c r="AB42" s="52" t="str">
        <f>IF(AND('Mapa final'!$AA$47="Baja",'Mapa final'!$AC$47="Mayor"),CONCATENATE("R7C",'Mapa final'!$Q$47),"")</f>
        <v/>
      </c>
      <c r="AC42" s="53" t="str">
        <f>IF(AND('Mapa final'!$AA$48="Baja",'Mapa final'!$AC$48="Mayor"),CONCATENATE("R7C",'Mapa final'!$Q$48),"")</f>
        <v/>
      </c>
      <c r="AD42" s="58" t="str">
        <f>IF(AND('Mapa final'!$AA$49="Baja",'Mapa final'!$AC$49="Mayor"),CONCATENATE("R7C",'Mapa final'!$Q$49),"")</f>
        <v/>
      </c>
      <c r="AE42" s="58" t="str">
        <f>IF(AND('Mapa final'!$AA$50="Baja",'Mapa final'!$AC$50="Mayor"),CONCATENATE("R7C",'Mapa final'!$Q$50),"")</f>
        <v/>
      </c>
      <c r="AF42" s="58" t="str">
        <f>IF(AND('Mapa final'!$AA$51="Baja",'Mapa final'!$AC$51="Mayor"),CONCATENATE("R7C",'Mapa final'!$Q$51),"")</f>
        <v/>
      </c>
      <c r="AG42" s="54" t="str">
        <f>IF(AND('Mapa final'!$AA$52="Baja",'Mapa final'!$AC$52="Mayor"),CONCATENATE("R7C",'Mapa final'!$Q$52),"")</f>
        <v/>
      </c>
      <c r="AH42" s="55" t="str">
        <f>IF(AND('Mapa final'!$AA$47="Baja",'Mapa final'!$AC$47="Catastrófico"),CONCATENATE("R7C",'Mapa final'!$Q$47),"")</f>
        <v/>
      </c>
      <c r="AI42" s="56" t="str">
        <f>IF(AND('Mapa final'!$AA$48="Baja",'Mapa final'!$AC$48="Catastrófico"),CONCATENATE("R7C",'Mapa final'!$Q$48),"")</f>
        <v/>
      </c>
      <c r="AJ42" s="56" t="str">
        <f>IF(AND('Mapa final'!$AA$49="Baja",'Mapa final'!$AC$49="Catastrófico"),CONCATENATE("R7C",'Mapa final'!$Q$49),"")</f>
        <v/>
      </c>
      <c r="AK42" s="56" t="str">
        <f>IF(AND('Mapa final'!$AA$50="Baja",'Mapa final'!$AC$50="Catastrófico"),CONCATENATE("R7C",'Mapa final'!$Q$50),"")</f>
        <v/>
      </c>
      <c r="AL42" s="56" t="str">
        <f>IF(AND('Mapa final'!$AA$51="Baja",'Mapa final'!$AC$51="Catastrófico"),CONCATENATE("R7C",'Mapa final'!$Q$51),"")</f>
        <v/>
      </c>
      <c r="AM42" s="57" t="str">
        <f>IF(AND('Mapa final'!$AA$52="Baja",'Mapa final'!$AC$52="Catastrófico"),CONCATENATE("R7C",'Mapa final'!$Q$52),"")</f>
        <v/>
      </c>
      <c r="AN42" s="84"/>
      <c r="AO42" s="386"/>
      <c r="AP42" s="387"/>
      <c r="AQ42" s="387"/>
      <c r="AR42" s="387"/>
      <c r="AS42" s="387"/>
      <c r="AT42" s="388"/>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313"/>
      <c r="C43" s="313"/>
      <c r="D43" s="314"/>
      <c r="E43" s="354"/>
      <c r="F43" s="355"/>
      <c r="G43" s="355"/>
      <c r="H43" s="355"/>
      <c r="I43" s="371"/>
      <c r="J43" s="77" t="str">
        <f>IF(AND('Mapa final'!$AA$53="Baja",'Mapa final'!$AC$53="Leve"),CONCATENATE("R8C",'Mapa final'!$Q$53),"")</f>
        <v/>
      </c>
      <c r="K43" s="78" t="str">
        <f>IF(AND('Mapa final'!$AA$54="Baja",'Mapa final'!$AC$54="Leve"),CONCATENATE("R8C",'Mapa final'!$Q$54),"")</f>
        <v/>
      </c>
      <c r="L43" s="78" t="str">
        <f>IF(AND('Mapa final'!$AA$55="Baja",'Mapa final'!$AC$55="Leve"),CONCATENATE("R8C",'Mapa final'!$Q$55),"")</f>
        <v/>
      </c>
      <c r="M43" s="78" t="str">
        <f>IF(AND('Mapa final'!$AA$56="Baja",'Mapa final'!$AC$56="Leve"),CONCATENATE("R8C",'Mapa final'!$Q$56),"")</f>
        <v/>
      </c>
      <c r="N43" s="78" t="str">
        <f>IF(AND('Mapa final'!$AA$57="Baja",'Mapa final'!$AC$57="Leve"),CONCATENATE("R8C",'Mapa final'!$Q$57),"")</f>
        <v/>
      </c>
      <c r="O43" s="79" t="str">
        <f>IF(AND('Mapa final'!$AA$58="Baja",'Mapa final'!$AC$58="Leve"),CONCATENATE("R8C",'Mapa final'!$Q$58),"")</f>
        <v/>
      </c>
      <c r="P43" s="68" t="str">
        <f>IF(AND('Mapa final'!$AA$53="Baja",'Mapa final'!$AC$53="Menor"),CONCATENATE("R8C",'Mapa final'!$Q$53),"")</f>
        <v/>
      </c>
      <c r="Q43" s="69" t="str">
        <f>IF(AND('Mapa final'!$AA$54="Baja",'Mapa final'!$AC$54="Menor"),CONCATENATE("R8C",'Mapa final'!$Q$54),"")</f>
        <v/>
      </c>
      <c r="R43" s="69" t="str">
        <f>IF(AND('Mapa final'!$AA$55="Baja",'Mapa final'!$AC$55="Menor"),CONCATENATE("R8C",'Mapa final'!$Q$55),"")</f>
        <v/>
      </c>
      <c r="S43" s="69" t="str">
        <f>IF(AND('Mapa final'!$AA$56="Baja",'Mapa final'!$AC$56="Menor"),CONCATENATE("R8C",'Mapa final'!$Q$56),"")</f>
        <v/>
      </c>
      <c r="T43" s="69" t="str">
        <f>IF(AND('Mapa final'!$AA$57="Baja",'Mapa final'!$AC$57="Menor"),CONCATENATE("R8C",'Mapa final'!$Q$57),"")</f>
        <v/>
      </c>
      <c r="U43" s="70" t="str">
        <f>IF(AND('Mapa final'!$AA$58="Baja",'Mapa final'!$AC$58="Menor"),CONCATENATE("R8C",'Mapa final'!$Q$58),"")</f>
        <v/>
      </c>
      <c r="V43" s="68" t="str">
        <f>IF(AND('Mapa final'!$AA$53="Baja",'Mapa final'!$AC$53="Moderado"),CONCATENATE("R8C",'Mapa final'!$Q$53),"")</f>
        <v/>
      </c>
      <c r="W43" s="69" t="str">
        <f>IF(AND('Mapa final'!$AA$54="Baja",'Mapa final'!$AC$54="Moderado"),CONCATENATE("R8C",'Mapa final'!$Q$54),"")</f>
        <v/>
      </c>
      <c r="X43" s="69" t="str">
        <f>IF(AND('Mapa final'!$AA$55="Baja",'Mapa final'!$AC$55="Moderado"),CONCATENATE("R8C",'Mapa final'!$Q$55),"")</f>
        <v/>
      </c>
      <c r="Y43" s="69" t="str">
        <f>IF(AND('Mapa final'!$AA$56="Baja",'Mapa final'!$AC$56="Moderado"),CONCATENATE("R8C",'Mapa final'!$Q$56),"")</f>
        <v/>
      </c>
      <c r="Z43" s="69" t="str">
        <f>IF(AND('Mapa final'!$AA$57="Baja",'Mapa final'!$AC$57="Moderado"),CONCATENATE("R8C",'Mapa final'!$Q$57),"")</f>
        <v/>
      </c>
      <c r="AA43" s="70" t="str">
        <f>IF(AND('Mapa final'!$AA$58="Baja",'Mapa final'!$AC$58="Moderado"),CONCATENATE("R8C",'Mapa final'!$Q$58),"")</f>
        <v/>
      </c>
      <c r="AB43" s="52" t="str">
        <f>IF(AND('Mapa final'!$AA$53="Baja",'Mapa final'!$AC$53="Mayor"),CONCATENATE("R8C",'Mapa final'!$Q$53),"")</f>
        <v/>
      </c>
      <c r="AC43" s="53" t="str">
        <f>IF(AND('Mapa final'!$AA$54="Baja",'Mapa final'!$AC$54="Mayor"),CONCATENATE("R8C",'Mapa final'!$Q$54),"")</f>
        <v/>
      </c>
      <c r="AD43" s="58" t="str">
        <f>IF(AND('Mapa final'!$AA$55="Baja",'Mapa final'!$AC$55="Mayor"),CONCATENATE("R8C",'Mapa final'!$Q$55),"")</f>
        <v/>
      </c>
      <c r="AE43" s="58" t="str">
        <f>IF(AND('Mapa final'!$AA$56="Baja",'Mapa final'!$AC$56="Mayor"),CONCATENATE("R8C",'Mapa final'!$Q$56),"")</f>
        <v/>
      </c>
      <c r="AF43" s="58" t="str">
        <f>IF(AND('Mapa final'!$AA$57="Baja",'Mapa final'!$AC$57="Mayor"),CONCATENATE("R8C",'Mapa final'!$Q$57),"")</f>
        <v/>
      </c>
      <c r="AG43" s="54" t="str">
        <f>IF(AND('Mapa final'!$AA$58="Baja",'Mapa final'!$AC$58="Mayor"),CONCATENATE("R8C",'Mapa final'!$Q$58),"")</f>
        <v/>
      </c>
      <c r="AH43" s="55" t="str">
        <f>IF(AND('Mapa final'!$AA$53="Baja",'Mapa final'!$AC$53="Catastrófico"),CONCATENATE("R8C",'Mapa final'!$Q$53),"")</f>
        <v/>
      </c>
      <c r="AI43" s="56" t="str">
        <f>IF(AND('Mapa final'!$AA$54="Baja",'Mapa final'!$AC$54="Catastrófico"),CONCATENATE("R8C",'Mapa final'!$Q$54),"")</f>
        <v/>
      </c>
      <c r="AJ43" s="56" t="str">
        <f>IF(AND('Mapa final'!$AA$55="Baja",'Mapa final'!$AC$55="Catastrófico"),CONCATENATE("R8C",'Mapa final'!$Q$55),"")</f>
        <v/>
      </c>
      <c r="AK43" s="56" t="str">
        <f>IF(AND('Mapa final'!$AA$56="Baja",'Mapa final'!$AC$56="Catastrófico"),CONCATENATE("R8C",'Mapa final'!$Q$56),"")</f>
        <v/>
      </c>
      <c r="AL43" s="56" t="str">
        <f>IF(AND('Mapa final'!$AA$57="Baja",'Mapa final'!$AC$57="Catastrófico"),CONCATENATE("R8C",'Mapa final'!$Q$57),"")</f>
        <v/>
      </c>
      <c r="AM43" s="57" t="str">
        <f>IF(AND('Mapa final'!$AA$58="Baja",'Mapa final'!$AC$58="Catastrófico"),CONCATENATE("R8C",'Mapa final'!$Q$58),"")</f>
        <v/>
      </c>
      <c r="AN43" s="84"/>
      <c r="AO43" s="386"/>
      <c r="AP43" s="387"/>
      <c r="AQ43" s="387"/>
      <c r="AR43" s="387"/>
      <c r="AS43" s="387"/>
      <c r="AT43" s="388"/>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313"/>
      <c r="C44" s="313"/>
      <c r="D44" s="314"/>
      <c r="E44" s="354"/>
      <c r="F44" s="355"/>
      <c r="G44" s="355"/>
      <c r="H44" s="355"/>
      <c r="I44" s="371"/>
      <c r="J44" s="77" t="str">
        <f>IF(AND('Mapa final'!$AA$59="Baja",'Mapa final'!$AC$59="Leve"),CONCATENATE("R9C",'Mapa final'!$Q$59),"")</f>
        <v/>
      </c>
      <c r="K44" s="78" t="str">
        <f>IF(AND('Mapa final'!$AA$60="Baja",'Mapa final'!$AC$60="Leve"),CONCATENATE("R9C",'Mapa final'!$Q$60),"")</f>
        <v/>
      </c>
      <c r="L44" s="78" t="str">
        <f>IF(AND('Mapa final'!$AA$61="Baja",'Mapa final'!$AC$61="Leve"),CONCATENATE("R9C",'Mapa final'!$Q$61),"")</f>
        <v/>
      </c>
      <c r="M44" s="78" t="str">
        <f>IF(AND('Mapa final'!$AA$62="Baja",'Mapa final'!$AC$62="Leve"),CONCATENATE("R9C",'Mapa final'!$Q$62),"")</f>
        <v/>
      </c>
      <c r="N44" s="78" t="str">
        <f>IF(AND('Mapa final'!$AA$63="Baja",'Mapa final'!$AC$63="Leve"),CONCATENATE("R9C",'Mapa final'!$Q$63),"")</f>
        <v/>
      </c>
      <c r="O44" s="79" t="str">
        <f>IF(AND('Mapa final'!$AA$64="Baja",'Mapa final'!$AC$64="Leve"),CONCATENATE("R9C",'Mapa final'!$Q$64),"")</f>
        <v/>
      </c>
      <c r="P44" s="68" t="str">
        <f>IF(AND('Mapa final'!$AA$59="Baja",'Mapa final'!$AC$59="Menor"),CONCATENATE("R9C",'Mapa final'!$Q$59),"")</f>
        <v/>
      </c>
      <c r="Q44" s="69" t="str">
        <f>IF(AND('Mapa final'!$AA$60="Baja",'Mapa final'!$AC$60="Menor"),CONCATENATE("R9C",'Mapa final'!$Q$60),"")</f>
        <v/>
      </c>
      <c r="R44" s="69" t="str">
        <f>IF(AND('Mapa final'!$AA$61="Baja",'Mapa final'!$AC$61="Menor"),CONCATENATE("R9C",'Mapa final'!$Q$61),"")</f>
        <v/>
      </c>
      <c r="S44" s="69" t="str">
        <f>IF(AND('Mapa final'!$AA$62="Baja",'Mapa final'!$AC$62="Menor"),CONCATENATE("R9C",'Mapa final'!$Q$62),"")</f>
        <v/>
      </c>
      <c r="T44" s="69" t="str">
        <f>IF(AND('Mapa final'!$AA$63="Baja",'Mapa final'!$AC$63="Menor"),CONCATENATE("R9C",'Mapa final'!$Q$63),"")</f>
        <v/>
      </c>
      <c r="U44" s="70" t="str">
        <f>IF(AND('Mapa final'!$AA$64="Baja",'Mapa final'!$AC$64="Menor"),CONCATENATE("R9C",'Mapa final'!$Q$64),"")</f>
        <v/>
      </c>
      <c r="V44" s="68" t="str">
        <f>IF(AND('Mapa final'!$AA$59="Baja",'Mapa final'!$AC$59="Moderado"),CONCATENATE("R9C",'Mapa final'!$Q$59),"")</f>
        <v/>
      </c>
      <c r="W44" s="69" t="str">
        <f>IF(AND('Mapa final'!$AA$60="Baja",'Mapa final'!$AC$60="Moderado"),CONCATENATE("R9C",'Mapa final'!$Q$60),"")</f>
        <v/>
      </c>
      <c r="X44" s="69" t="str">
        <f>IF(AND('Mapa final'!$AA$61="Baja",'Mapa final'!$AC$61="Moderado"),CONCATENATE("R9C",'Mapa final'!$Q$61),"")</f>
        <v/>
      </c>
      <c r="Y44" s="69" t="str">
        <f>IF(AND('Mapa final'!$AA$62="Baja",'Mapa final'!$AC$62="Moderado"),CONCATENATE("R9C",'Mapa final'!$Q$62),"")</f>
        <v/>
      </c>
      <c r="Z44" s="69" t="str">
        <f>IF(AND('Mapa final'!$AA$63="Baja",'Mapa final'!$AC$63="Moderado"),CONCATENATE("R9C",'Mapa final'!$Q$63),"")</f>
        <v/>
      </c>
      <c r="AA44" s="70" t="str">
        <f>IF(AND('Mapa final'!$AA$64="Baja",'Mapa final'!$AC$64="Moderado"),CONCATENATE("R9C",'Mapa final'!$Q$64),"")</f>
        <v/>
      </c>
      <c r="AB44" s="52" t="str">
        <f>IF(AND('Mapa final'!$AA$59="Baja",'Mapa final'!$AC$59="Mayor"),CONCATENATE("R9C",'Mapa final'!$Q$59),"")</f>
        <v/>
      </c>
      <c r="AC44" s="53" t="str">
        <f>IF(AND('Mapa final'!$AA$60="Baja",'Mapa final'!$AC$60="Mayor"),CONCATENATE("R9C",'Mapa final'!$Q$60),"")</f>
        <v/>
      </c>
      <c r="AD44" s="58" t="str">
        <f>IF(AND('Mapa final'!$AA$61="Baja",'Mapa final'!$AC$61="Mayor"),CONCATENATE("R9C",'Mapa final'!$Q$61),"")</f>
        <v/>
      </c>
      <c r="AE44" s="58" t="str">
        <f>IF(AND('Mapa final'!$AA$62="Baja",'Mapa final'!$AC$62="Mayor"),CONCATENATE("R9C",'Mapa final'!$Q$62),"")</f>
        <v/>
      </c>
      <c r="AF44" s="58" t="str">
        <f>IF(AND('Mapa final'!$AA$63="Baja",'Mapa final'!$AC$63="Mayor"),CONCATENATE("R9C",'Mapa final'!$Q$63),"")</f>
        <v/>
      </c>
      <c r="AG44" s="54" t="str">
        <f>IF(AND('Mapa final'!$AA$64="Baja",'Mapa final'!$AC$64="Mayor"),CONCATENATE("R9C",'Mapa final'!$Q$64),"")</f>
        <v/>
      </c>
      <c r="AH44" s="55" t="str">
        <f>IF(AND('Mapa final'!$AA$59="Baja",'Mapa final'!$AC$59="Catastrófico"),CONCATENATE("R9C",'Mapa final'!$Q$59),"")</f>
        <v/>
      </c>
      <c r="AI44" s="56" t="str">
        <f>IF(AND('Mapa final'!$AA$60="Baja",'Mapa final'!$AC$60="Catastrófico"),CONCATENATE("R9C",'Mapa final'!$Q$60),"")</f>
        <v/>
      </c>
      <c r="AJ44" s="56" t="str">
        <f>IF(AND('Mapa final'!$AA$61="Baja",'Mapa final'!$AC$61="Catastrófico"),CONCATENATE("R9C",'Mapa final'!$Q$61),"")</f>
        <v/>
      </c>
      <c r="AK44" s="56" t="str">
        <f>IF(AND('Mapa final'!$AA$62="Baja",'Mapa final'!$AC$62="Catastrófico"),CONCATENATE("R9C",'Mapa final'!$Q$62),"")</f>
        <v/>
      </c>
      <c r="AL44" s="56" t="str">
        <f>IF(AND('Mapa final'!$AA$63="Baja",'Mapa final'!$AC$63="Catastrófico"),CONCATENATE("R9C",'Mapa final'!$Q$63),"")</f>
        <v/>
      </c>
      <c r="AM44" s="57" t="str">
        <f>IF(AND('Mapa final'!$AA$64="Baja",'Mapa final'!$AC$64="Catastrófico"),CONCATENATE("R9C",'Mapa final'!$Q$64),"")</f>
        <v/>
      </c>
      <c r="AN44" s="84"/>
      <c r="AO44" s="386"/>
      <c r="AP44" s="387"/>
      <c r="AQ44" s="387"/>
      <c r="AR44" s="387"/>
      <c r="AS44" s="387"/>
      <c r="AT44" s="388"/>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313"/>
      <c r="C45" s="313"/>
      <c r="D45" s="314"/>
      <c r="E45" s="357"/>
      <c r="F45" s="358"/>
      <c r="G45" s="358"/>
      <c r="H45" s="358"/>
      <c r="I45" s="358"/>
      <c r="J45" s="80" t="str">
        <f>IF(AND('Mapa final'!$AA$65="Baja",'Mapa final'!$AC$65="Leve"),CONCATENATE("R10C",'Mapa final'!$Q$65),"")</f>
        <v/>
      </c>
      <c r="K45" s="81" t="str">
        <f>IF(AND('Mapa final'!$AA$66="Baja",'Mapa final'!$AC$66="Leve"),CONCATENATE("R10C",'Mapa final'!$Q$66),"")</f>
        <v/>
      </c>
      <c r="L45" s="81" t="str">
        <f>IF(AND('Mapa final'!$AA$67="Baja",'Mapa final'!$AC$67="Leve"),CONCATENATE("R10C",'Mapa final'!$Q$67),"")</f>
        <v/>
      </c>
      <c r="M45" s="81" t="str">
        <f>IF(AND('Mapa final'!$AA$68="Baja",'Mapa final'!$AC$68="Leve"),CONCATENATE("R10C",'Mapa final'!$Q$68),"")</f>
        <v/>
      </c>
      <c r="N45" s="81" t="str">
        <f>IF(AND('Mapa final'!$AA$69="Baja",'Mapa final'!$AC$69="Leve"),CONCATENATE("R10C",'Mapa final'!$Q$69),"")</f>
        <v/>
      </c>
      <c r="O45" s="82" t="str">
        <f>IF(AND('Mapa final'!$AA$70="Baja",'Mapa final'!$AC$70="Leve"),CONCATENATE("R10C",'Mapa final'!$Q$70),"")</f>
        <v/>
      </c>
      <c r="P45" s="68" t="str">
        <f>IF(AND('Mapa final'!$AA$65="Baja",'Mapa final'!$AC$65="Menor"),CONCATENATE("R10C",'Mapa final'!$Q$65),"")</f>
        <v/>
      </c>
      <c r="Q45" s="69" t="str">
        <f>IF(AND('Mapa final'!$AA$66="Baja",'Mapa final'!$AC$66="Menor"),CONCATENATE("R10C",'Mapa final'!$Q$66),"")</f>
        <v/>
      </c>
      <c r="R45" s="69" t="str">
        <f>IF(AND('Mapa final'!$AA$67="Baja",'Mapa final'!$AC$67="Menor"),CONCATENATE("R10C",'Mapa final'!$Q$67),"")</f>
        <v/>
      </c>
      <c r="S45" s="69" t="str">
        <f>IF(AND('Mapa final'!$AA$68="Baja",'Mapa final'!$AC$68="Menor"),CONCATENATE("R10C",'Mapa final'!$Q$68),"")</f>
        <v/>
      </c>
      <c r="T45" s="69" t="str">
        <f>IF(AND('Mapa final'!$AA$69="Baja",'Mapa final'!$AC$69="Menor"),CONCATENATE("R10C",'Mapa final'!$Q$69),"")</f>
        <v/>
      </c>
      <c r="U45" s="70" t="str">
        <f>IF(AND('Mapa final'!$AA$70="Baja",'Mapa final'!$AC$70="Menor"),CONCATENATE("R10C",'Mapa final'!$Q$70),"")</f>
        <v/>
      </c>
      <c r="V45" s="71" t="str">
        <f>IF(AND('Mapa final'!$AA$65="Baja",'Mapa final'!$AC$65="Moderado"),CONCATENATE("R10C",'Mapa final'!$Q$65),"")</f>
        <v/>
      </c>
      <c r="W45" s="72" t="str">
        <f>IF(AND('Mapa final'!$AA$66="Baja",'Mapa final'!$AC$66="Moderado"),CONCATENATE("R10C",'Mapa final'!$Q$66),"")</f>
        <v/>
      </c>
      <c r="X45" s="72" t="str">
        <f>IF(AND('Mapa final'!$AA$67="Baja",'Mapa final'!$AC$67="Moderado"),CONCATENATE("R10C",'Mapa final'!$Q$67),"")</f>
        <v/>
      </c>
      <c r="Y45" s="72" t="str">
        <f>IF(AND('Mapa final'!$AA$68="Baja",'Mapa final'!$AC$68="Moderado"),CONCATENATE("R10C",'Mapa final'!$Q$68),"")</f>
        <v/>
      </c>
      <c r="Z45" s="72" t="str">
        <f>IF(AND('Mapa final'!$AA$69="Baja",'Mapa final'!$AC$69="Moderado"),CONCATENATE("R10C",'Mapa final'!$Q$69),"")</f>
        <v/>
      </c>
      <c r="AA45" s="73" t="str">
        <f>IF(AND('Mapa final'!$AA$70="Baja",'Mapa final'!$AC$70="Moderado"),CONCATENATE("R10C",'Mapa final'!$Q$70),"")</f>
        <v/>
      </c>
      <c r="AB45" s="59" t="str">
        <f>IF(AND('Mapa final'!$AA$65="Baja",'Mapa final'!$AC$65="Mayor"),CONCATENATE("R10C",'Mapa final'!$Q$65),"")</f>
        <v/>
      </c>
      <c r="AC45" s="60" t="str">
        <f>IF(AND('Mapa final'!$AA$66="Baja",'Mapa final'!$AC$66="Mayor"),CONCATENATE("R10C",'Mapa final'!$Q$66),"")</f>
        <v/>
      </c>
      <c r="AD45" s="60" t="str">
        <f>IF(AND('Mapa final'!$AA$67="Baja",'Mapa final'!$AC$67="Mayor"),CONCATENATE("R10C",'Mapa final'!$Q$67),"")</f>
        <v/>
      </c>
      <c r="AE45" s="60" t="str">
        <f>IF(AND('Mapa final'!$AA$68="Baja",'Mapa final'!$AC$68="Mayor"),CONCATENATE("R10C",'Mapa final'!$Q$68),"")</f>
        <v/>
      </c>
      <c r="AF45" s="60" t="str">
        <f>IF(AND('Mapa final'!$AA$69="Baja",'Mapa final'!$AC$69="Mayor"),CONCATENATE("R10C",'Mapa final'!$Q$69),"")</f>
        <v/>
      </c>
      <c r="AG45" s="61" t="str">
        <f>IF(AND('Mapa final'!$AA$70="Baja",'Mapa final'!$AC$70="Mayor"),CONCATENATE("R10C",'Mapa final'!$Q$70),"")</f>
        <v/>
      </c>
      <c r="AH45" s="62" t="str">
        <f>IF(AND('Mapa final'!$AA$65="Baja",'Mapa final'!$AC$65="Catastrófico"),CONCATENATE("R10C",'Mapa final'!$Q$65),"")</f>
        <v/>
      </c>
      <c r="AI45" s="63" t="str">
        <f>IF(AND('Mapa final'!$AA$66="Baja",'Mapa final'!$AC$66="Catastrófico"),CONCATENATE("R10C",'Mapa final'!$Q$66),"")</f>
        <v/>
      </c>
      <c r="AJ45" s="63" t="str">
        <f>IF(AND('Mapa final'!$AA$67="Baja",'Mapa final'!$AC$67="Catastrófico"),CONCATENATE("R10C",'Mapa final'!$Q$67),"")</f>
        <v/>
      </c>
      <c r="AK45" s="63" t="str">
        <f>IF(AND('Mapa final'!$AA$68="Baja",'Mapa final'!$AC$68="Catastrófico"),CONCATENATE("R10C",'Mapa final'!$Q$68),"")</f>
        <v/>
      </c>
      <c r="AL45" s="63" t="str">
        <f>IF(AND('Mapa final'!$AA$69="Baja",'Mapa final'!$AC$69="Catastrófico"),CONCATENATE("R10C",'Mapa final'!$Q$69),"")</f>
        <v/>
      </c>
      <c r="AM45" s="64" t="str">
        <f>IF(AND('Mapa final'!$AA$70="Baja",'Mapa final'!$AC$70="Catastrófico"),CONCATENATE("R10C",'Mapa final'!$Q$70),"")</f>
        <v/>
      </c>
      <c r="AN45" s="84"/>
      <c r="AO45" s="389"/>
      <c r="AP45" s="390"/>
      <c r="AQ45" s="390"/>
      <c r="AR45" s="390"/>
      <c r="AS45" s="390"/>
      <c r="AT45" s="391"/>
    </row>
    <row r="46" spans="1:80" ht="46.5" customHeight="1" x14ac:dyDescent="0.45">
      <c r="A46" s="84"/>
      <c r="B46" s="313"/>
      <c r="C46" s="313"/>
      <c r="D46" s="314"/>
      <c r="E46" s="351" t="s">
        <v>105</v>
      </c>
      <c r="F46" s="352"/>
      <c r="G46" s="352"/>
      <c r="H46" s="352"/>
      <c r="I46" s="353"/>
      <c r="J46" s="74" t="str">
        <f>IF(AND('Mapa final'!$AA$11="Muy Baja",'Mapa final'!$AC$11="Leve"),CONCATENATE("R1C",'Mapa final'!$Q$11),"")</f>
        <v/>
      </c>
      <c r="K46" s="75" t="str">
        <f>IF(AND('Mapa final'!$AA$12="Muy Baja",'Mapa final'!$AC$12="Leve"),CONCATENATE("R1C",'Mapa final'!$Q$12),"")</f>
        <v/>
      </c>
      <c r="L46" s="75" t="str">
        <f>IF(AND('Mapa final'!$AA$13="Muy Baja",'Mapa final'!$AC$13="Leve"),CONCATENATE("R1C",'Mapa final'!$Q$13),"")</f>
        <v/>
      </c>
      <c r="M46" s="75" t="str">
        <f>IF(AND('Mapa final'!$AA$14="Muy Baja",'Mapa final'!$AC$14="Leve"),CONCATENATE("R1C",'Mapa final'!$Q$14),"")</f>
        <v/>
      </c>
      <c r="N46" s="75" t="str">
        <f>IF(AND('Mapa final'!$AA$15="Muy Baja",'Mapa final'!$AC$15="Leve"),CONCATENATE("R1C",'Mapa final'!$Q$15),"")</f>
        <v/>
      </c>
      <c r="O46" s="76" t="str">
        <f>IF(AND('Mapa final'!$AA$16="Muy Baja",'Mapa final'!$AC$16="Leve"),CONCATENATE("R1C",'Mapa final'!$Q$16),"")</f>
        <v/>
      </c>
      <c r="P46" s="74" t="str">
        <f>IF(AND('Mapa final'!$AA$11="Muy Baja",'Mapa final'!$AC$11="Menor"),CONCATENATE("R1C",'Mapa final'!$Q$11),"")</f>
        <v/>
      </c>
      <c r="Q46" s="75" t="str">
        <f>IF(AND('Mapa final'!$AA$12="Muy Baja",'Mapa final'!$AC$12="Menor"),CONCATENATE("R1C",'Mapa final'!$Q$12),"")</f>
        <v/>
      </c>
      <c r="R46" s="75" t="str">
        <f>IF(AND('Mapa final'!$AA$13="Muy Baja",'Mapa final'!$AC$13="Menor"),CONCATENATE("R1C",'Mapa final'!$Q$13),"")</f>
        <v/>
      </c>
      <c r="S46" s="75" t="str">
        <f>IF(AND('Mapa final'!$AA$14="Muy Baja",'Mapa final'!$AC$14="Menor"),CONCATENATE("R1C",'Mapa final'!$Q$14),"")</f>
        <v/>
      </c>
      <c r="T46" s="75" t="str">
        <f>IF(AND('Mapa final'!$AA$15="Muy Baja",'Mapa final'!$AC$15="Menor"),CONCATENATE("R1C",'Mapa final'!$Q$15),"")</f>
        <v/>
      </c>
      <c r="U46" s="76" t="str">
        <f>IF(AND('Mapa final'!$AA$16="Muy Baja",'Mapa final'!$AC$16="Menor"),CONCATENATE("R1C",'Mapa final'!$Q$16),"")</f>
        <v/>
      </c>
      <c r="V46" s="65" t="str">
        <f>IF(AND('Mapa final'!$AA$11="Muy Baja",'Mapa final'!$AC$11="Moderado"),CONCATENATE("R1C",'Mapa final'!$Q$11),"")</f>
        <v>R1C1</v>
      </c>
      <c r="W46" s="83" t="str">
        <f>IF(AND('Mapa final'!$AA$12="Muy Baja",'Mapa final'!$AC$12="Moderado"),CONCATENATE("R1C",'Mapa final'!$Q$12),"")</f>
        <v>R1C2</v>
      </c>
      <c r="X46" s="66" t="str">
        <f>IF(AND('Mapa final'!$AA$13="Muy Baja",'Mapa final'!$AC$13="Moderado"),CONCATENATE("R1C",'Mapa final'!$Q$13),"")</f>
        <v/>
      </c>
      <c r="Y46" s="66" t="str">
        <f>IF(AND('Mapa final'!$AA$14="Muy Baja",'Mapa final'!$AC$14="Moderado"),CONCATENATE("R1C",'Mapa final'!$Q$14),"")</f>
        <v/>
      </c>
      <c r="Z46" s="66" t="str">
        <f>IF(AND('Mapa final'!$AA$15="Muy Baja",'Mapa final'!$AC$15="Moderado"),CONCATENATE("R1C",'Mapa final'!$Q$15),"")</f>
        <v/>
      </c>
      <c r="AA46" s="67" t="str">
        <f>IF(AND('Mapa final'!$AA$16="Muy Baja",'Mapa final'!$AC$16="Moderado"),CONCATENATE("R1C",'Mapa final'!$Q$16),"")</f>
        <v/>
      </c>
      <c r="AB46" s="46" t="str">
        <f>IF(AND('Mapa final'!$AA$11="Muy Baja",'Mapa final'!$AC$11="Mayor"),CONCATENATE("R1C",'Mapa final'!$Q$11),"")</f>
        <v/>
      </c>
      <c r="AC46" s="47" t="str">
        <f>IF(AND('Mapa final'!$AA$12="Muy Baja",'Mapa final'!$AC$12="Mayor"),CONCATENATE("R1C",'Mapa final'!$Q$12),"")</f>
        <v/>
      </c>
      <c r="AD46" s="47" t="str">
        <f>IF(AND('Mapa final'!$AA$13="Muy Baja",'Mapa final'!$AC$13="Mayor"),CONCATENATE("R1C",'Mapa final'!$Q$13),"")</f>
        <v/>
      </c>
      <c r="AE46" s="47" t="str">
        <f>IF(AND('Mapa final'!$AA$14="Muy Baja",'Mapa final'!$AC$14="Mayor"),CONCATENATE("R1C",'Mapa final'!$Q$14),"")</f>
        <v/>
      </c>
      <c r="AF46" s="47" t="str">
        <f>IF(AND('Mapa final'!$AA$15="Muy Baja",'Mapa final'!$AC$15="Mayor"),CONCATENATE("R1C",'Mapa final'!$Q$15),"")</f>
        <v/>
      </c>
      <c r="AG46" s="48" t="str">
        <f>IF(AND('Mapa final'!$AA$16="Muy Baja",'Mapa final'!$AC$16="Mayor"),CONCATENATE("R1C",'Mapa final'!$Q$16),"")</f>
        <v/>
      </c>
      <c r="AH46" s="49" t="str">
        <f>IF(AND('Mapa final'!$AA$11="Muy Baja",'Mapa final'!$AC$11="Catastrófico"),CONCATENATE("R1C",'Mapa final'!$Q$11),"")</f>
        <v/>
      </c>
      <c r="AI46" s="50" t="str">
        <f>IF(AND('Mapa final'!$AA$12="Muy Baja",'Mapa final'!$AC$12="Catastrófico"),CONCATENATE("R1C",'Mapa final'!$Q$12),"")</f>
        <v/>
      </c>
      <c r="AJ46" s="50" t="str">
        <f>IF(AND('Mapa final'!$AA$13="Muy Baja",'Mapa final'!$AC$13="Catastrófico"),CONCATENATE("R1C",'Mapa final'!$Q$13),"")</f>
        <v/>
      </c>
      <c r="AK46" s="50" t="str">
        <f>IF(AND('Mapa final'!$AA$14="Muy Baja",'Mapa final'!$AC$14="Catastrófico"),CONCATENATE("R1C",'Mapa final'!$Q$14),"")</f>
        <v/>
      </c>
      <c r="AL46" s="50" t="str">
        <f>IF(AND('Mapa final'!$AA$15="Muy Baja",'Mapa final'!$AC$15="Catastrófico"),CONCATENATE("R1C",'Mapa final'!$Q$15),"")</f>
        <v/>
      </c>
      <c r="AM46" s="51" t="str">
        <f>IF(AND('Mapa final'!$AA$16="Muy Baja",'Mapa final'!$AC$16="Catastrófico"),CONCATENATE("R1C",'Mapa final'!$Q$16),"")</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313"/>
      <c r="C47" s="313"/>
      <c r="D47" s="314"/>
      <c r="E47" s="370"/>
      <c r="F47" s="371"/>
      <c r="G47" s="371"/>
      <c r="H47" s="371"/>
      <c r="I47" s="356"/>
      <c r="J47" s="77" t="str">
        <f>IF(AND('Mapa final'!$AA$17="Muy Baja",'Mapa final'!$AC$17="Leve"),CONCATENATE("R2C",'Mapa final'!$Q$17),"")</f>
        <v/>
      </c>
      <c r="K47" s="78" t="str">
        <f>IF(AND('Mapa final'!$AA$18="Muy Baja",'Mapa final'!$AC$18="Leve"),CONCATENATE("R2C",'Mapa final'!$Q$18),"")</f>
        <v/>
      </c>
      <c r="L47" s="78" t="str">
        <f>IF(AND('Mapa final'!$AA$19="Muy Baja",'Mapa final'!$AC$19="Leve"),CONCATENATE("R2C",'Mapa final'!$Q$19),"")</f>
        <v/>
      </c>
      <c r="M47" s="78" t="str">
        <f>IF(AND('Mapa final'!$AA$20="Muy Baja",'Mapa final'!$AC$20="Leve"),CONCATENATE("R2C",'Mapa final'!$Q$20),"")</f>
        <v/>
      </c>
      <c r="N47" s="78" t="str">
        <f>IF(AND('Mapa final'!$AA$21="Muy Baja",'Mapa final'!$AC$21="Leve"),CONCATENATE("R2C",'Mapa final'!$Q$21),"")</f>
        <v/>
      </c>
      <c r="O47" s="79" t="str">
        <f>IF(AND('Mapa final'!$AA$22="Muy Baja",'Mapa final'!$AC$22="Leve"),CONCATENATE("R2C",'Mapa final'!$Q$22),"")</f>
        <v/>
      </c>
      <c r="P47" s="77" t="str">
        <f>IF(AND('Mapa final'!$AA$17="Muy Baja",'Mapa final'!$AC$17="Menor"),CONCATENATE("R2C",'Mapa final'!$Q$17),"")</f>
        <v/>
      </c>
      <c r="Q47" s="78" t="str">
        <f>IF(AND('Mapa final'!$AA$18="Muy Baja",'Mapa final'!$AC$18="Menor"),CONCATENATE("R2C",'Mapa final'!$Q$18),"")</f>
        <v/>
      </c>
      <c r="R47" s="78" t="str">
        <f>IF(AND('Mapa final'!$AA$19="Muy Baja",'Mapa final'!$AC$19="Menor"),CONCATENATE("R2C",'Mapa final'!$Q$19),"")</f>
        <v/>
      </c>
      <c r="S47" s="78" t="str">
        <f>IF(AND('Mapa final'!$AA$20="Muy Baja",'Mapa final'!$AC$20="Menor"),CONCATENATE("R2C",'Mapa final'!$Q$20),"")</f>
        <v/>
      </c>
      <c r="T47" s="78" t="str">
        <f>IF(AND('Mapa final'!$AA$21="Muy Baja",'Mapa final'!$AC$21="Menor"),CONCATENATE("R2C",'Mapa final'!$Q$21),"")</f>
        <v/>
      </c>
      <c r="U47" s="79" t="str">
        <f>IF(AND('Mapa final'!$AA$22="Muy Baja",'Mapa final'!$AC$22="Menor"),CONCATENATE("R2C",'Mapa final'!$Q$22),"")</f>
        <v/>
      </c>
      <c r="V47" s="68" t="str">
        <f>IF(AND('Mapa final'!$AA$17="Muy Baja",'Mapa final'!$AC$17="Moderado"),CONCATENATE("R2C",'Mapa final'!$Q$17),"")</f>
        <v>R2C1</v>
      </c>
      <c r="W47" s="69" t="str">
        <f>IF(AND('Mapa final'!$AA$18="Muy Baja",'Mapa final'!$AC$18="Moderado"),CONCATENATE("R2C",'Mapa final'!$Q$18),"")</f>
        <v>R2C2</v>
      </c>
      <c r="X47" s="69" t="str">
        <f>IF(AND('Mapa final'!$AA$19="Muy Baja",'Mapa final'!$AC$19="Moderado"),CONCATENATE("R2C",'Mapa final'!$Q$19),"")</f>
        <v/>
      </c>
      <c r="Y47" s="69" t="str">
        <f>IF(AND('Mapa final'!$AA$20="Muy Baja",'Mapa final'!$AC$20="Moderado"),CONCATENATE("R2C",'Mapa final'!$Q$20),"")</f>
        <v/>
      </c>
      <c r="Z47" s="69" t="str">
        <f>IF(AND('Mapa final'!$AA$21="Muy Baja",'Mapa final'!$AC$21="Moderado"),CONCATENATE("R2C",'Mapa final'!$Q$21),"")</f>
        <v/>
      </c>
      <c r="AA47" s="70" t="str">
        <f>IF(AND('Mapa final'!$AA$22="Muy Baja",'Mapa final'!$AC$22="Moderado"),CONCATENATE("R2C",'Mapa final'!$Q$22),"")</f>
        <v/>
      </c>
      <c r="AB47" s="52" t="str">
        <f>IF(AND('Mapa final'!$AA$17="Muy Baja",'Mapa final'!$AC$17="Mayor"),CONCATENATE("R2C",'Mapa final'!$Q$17),"")</f>
        <v/>
      </c>
      <c r="AC47" s="53" t="str">
        <f>IF(AND('Mapa final'!$AA$18="Muy Baja",'Mapa final'!$AC$18="Mayor"),CONCATENATE("R2C",'Mapa final'!$Q$18),"")</f>
        <v/>
      </c>
      <c r="AD47" s="53" t="str">
        <f>IF(AND('Mapa final'!$AA$19="Muy Baja",'Mapa final'!$AC$19="Mayor"),CONCATENATE("R2C",'Mapa final'!$Q$19),"")</f>
        <v/>
      </c>
      <c r="AE47" s="53" t="str">
        <f>IF(AND('Mapa final'!$AA$20="Muy Baja",'Mapa final'!$AC$20="Mayor"),CONCATENATE("R2C",'Mapa final'!$Q$20),"")</f>
        <v/>
      </c>
      <c r="AF47" s="53" t="str">
        <f>IF(AND('Mapa final'!$AA$21="Muy Baja",'Mapa final'!$AC$21="Mayor"),CONCATENATE("R2C",'Mapa final'!$Q$21),"")</f>
        <v/>
      </c>
      <c r="AG47" s="54" t="str">
        <f>IF(AND('Mapa final'!$AA$22="Muy Baja",'Mapa final'!$AC$22="Mayor"),CONCATENATE("R2C",'Mapa final'!$Q$22),"")</f>
        <v/>
      </c>
      <c r="AH47" s="55" t="str">
        <f>IF(AND('Mapa final'!$AA$17="Muy Baja",'Mapa final'!$AC$17="Catastrófico"),CONCATENATE("R2C",'Mapa final'!$Q$17),"")</f>
        <v/>
      </c>
      <c r="AI47" s="56" t="str">
        <f>IF(AND('Mapa final'!$AA$18="Muy Baja",'Mapa final'!$AC$18="Catastrófico"),CONCATENATE("R2C",'Mapa final'!$Q$18),"")</f>
        <v/>
      </c>
      <c r="AJ47" s="56" t="str">
        <f>IF(AND('Mapa final'!$AA$19="Muy Baja",'Mapa final'!$AC$19="Catastrófico"),CONCATENATE("R2C",'Mapa final'!$Q$19),"")</f>
        <v/>
      </c>
      <c r="AK47" s="56" t="str">
        <f>IF(AND('Mapa final'!$AA$20="Muy Baja",'Mapa final'!$AC$20="Catastrófico"),CONCATENATE("R2C",'Mapa final'!$Q$20),"")</f>
        <v/>
      </c>
      <c r="AL47" s="56" t="str">
        <f>IF(AND('Mapa final'!$AA$21="Muy Baja",'Mapa final'!$AC$21="Catastrófico"),CONCATENATE("R2C",'Mapa final'!$Q$21),"")</f>
        <v/>
      </c>
      <c r="AM47" s="57" t="str">
        <f>IF(AND('Mapa final'!$AA$22="Muy Baja",'Mapa final'!$AC$22="Catastrófico"),CONCATENATE("R2C",'Mapa final'!$Q$22),"")</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313"/>
      <c r="C48" s="313"/>
      <c r="D48" s="314"/>
      <c r="E48" s="370"/>
      <c r="F48" s="371"/>
      <c r="G48" s="371"/>
      <c r="H48" s="371"/>
      <c r="I48" s="356"/>
      <c r="J48" s="77" t="str">
        <f>IF(AND('Mapa final'!$AA$23="Muy Baja",'Mapa final'!$AC$23="Leve"),CONCATENATE("R3C",'Mapa final'!$Q$23),"")</f>
        <v/>
      </c>
      <c r="K48" s="78" t="str">
        <f>IF(AND('Mapa final'!$AA$24="Muy Baja",'Mapa final'!$AC$24="Leve"),CONCATENATE("R3C",'Mapa final'!$Q$24),"")</f>
        <v/>
      </c>
      <c r="L48" s="78" t="str">
        <f>IF(AND('Mapa final'!$AA$25="Muy Baja",'Mapa final'!$AC$25="Leve"),CONCATENATE("R3C",'Mapa final'!$Q$25),"")</f>
        <v/>
      </c>
      <c r="M48" s="78" t="str">
        <f>IF(AND('Mapa final'!$AA$26="Muy Baja",'Mapa final'!$AC$26="Leve"),CONCATENATE("R3C",'Mapa final'!$Q$26),"")</f>
        <v/>
      </c>
      <c r="N48" s="78" t="str">
        <f>IF(AND('Mapa final'!$AA$27="Muy Baja",'Mapa final'!$AC$27="Leve"),CONCATENATE("R3C",'Mapa final'!$Q$27),"")</f>
        <v/>
      </c>
      <c r="O48" s="79" t="str">
        <f>IF(AND('Mapa final'!$AA$28="Muy Baja",'Mapa final'!$AC$28="Leve"),CONCATENATE("R3C",'Mapa final'!$Q$28),"")</f>
        <v/>
      </c>
      <c r="P48" s="77" t="str">
        <f>IF(AND('Mapa final'!$AA$23="Muy Baja",'Mapa final'!$AC$23="Menor"),CONCATENATE("R3C",'Mapa final'!$Q$23),"")</f>
        <v/>
      </c>
      <c r="Q48" s="78" t="str">
        <f>IF(AND('Mapa final'!$AA$24="Muy Baja",'Mapa final'!$AC$24="Menor"),CONCATENATE("R3C",'Mapa final'!$Q$24),"")</f>
        <v/>
      </c>
      <c r="R48" s="78" t="str">
        <f>IF(AND('Mapa final'!$AA$25="Muy Baja",'Mapa final'!$AC$25="Menor"),CONCATENATE("R3C",'Mapa final'!$Q$25),"")</f>
        <v/>
      </c>
      <c r="S48" s="78" t="str">
        <f>IF(AND('Mapa final'!$AA$26="Muy Baja",'Mapa final'!$AC$26="Menor"),CONCATENATE("R3C",'Mapa final'!$Q$26),"")</f>
        <v/>
      </c>
      <c r="T48" s="78" t="str">
        <f>IF(AND('Mapa final'!$AA$27="Muy Baja",'Mapa final'!$AC$27="Menor"),CONCATENATE("R3C",'Mapa final'!$Q$27),"")</f>
        <v/>
      </c>
      <c r="U48" s="79" t="str">
        <f>IF(AND('Mapa final'!$AA$28="Muy Baja",'Mapa final'!$AC$28="Menor"),CONCATENATE("R3C",'Mapa final'!$Q$28),"")</f>
        <v/>
      </c>
      <c r="V48" s="68" t="str">
        <f>IF(AND('Mapa final'!$AA$23="Muy Baja",'Mapa final'!$AC$23="Moderado"),CONCATENATE("R3C",'Mapa final'!$Q$23),"")</f>
        <v/>
      </c>
      <c r="W48" s="69" t="str">
        <f>IF(AND('Mapa final'!$AA$24="Muy Baja",'Mapa final'!$AC$24="Moderado"),CONCATENATE("R3C",'Mapa final'!$Q$24),"")</f>
        <v>R3C2</v>
      </c>
      <c r="X48" s="69" t="str">
        <f>IF(AND('Mapa final'!$AA$25="Muy Baja",'Mapa final'!$AC$25="Moderado"),CONCATENATE("R3C",'Mapa final'!$Q$25),"")</f>
        <v/>
      </c>
      <c r="Y48" s="69" t="str">
        <f>IF(AND('Mapa final'!$AA$26="Muy Baja",'Mapa final'!$AC$26="Moderado"),CONCATENATE("R3C",'Mapa final'!$Q$26),"")</f>
        <v/>
      </c>
      <c r="Z48" s="69" t="str">
        <f>IF(AND('Mapa final'!$AA$27="Muy Baja",'Mapa final'!$AC$27="Moderado"),CONCATENATE("R3C",'Mapa final'!$Q$27),"")</f>
        <v/>
      </c>
      <c r="AA48" s="70" t="str">
        <f>IF(AND('Mapa final'!$AA$28="Muy Baja",'Mapa final'!$AC$28="Moderado"),CONCATENATE("R3C",'Mapa final'!$Q$28),"")</f>
        <v/>
      </c>
      <c r="AB48" s="52" t="str">
        <f>IF(AND('Mapa final'!$AA$23="Muy Baja",'Mapa final'!$AC$23="Mayor"),CONCATENATE("R3C",'Mapa final'!$Q$23),"")</f>
        <v/>
      </c>
      <c r="AC48" s="53" t="str">
        <f>IF(AND('Mapa final'!$AA$24="Muy Baja",'Mapa final'!$AC$24="Mayor"),CONCATENATE("R3C",'Mapa final'!$Q$24),"")</f>
        <v/>
      </c>
      <c r="AD48" s="53" t="str">
        <f>IF(AND('Mapa final'!$AA$25="Muy Baja",'Mapa final'!$AC$25="Mayor"),CONCATENATE("R3C",'Mapa final'!$Q$25),"")</f>
        <v/>
      </c>
      <c r="AE48" s="53" t="str">
        <f>IF(AND('Mapa final'!$AA$26="Muy Baja",'Mapa final'!$AC$26="Mayor"),CONCATENATE("R3C",'Mapa final'!$Q$26),"")</f>
        <v/>
      </c>
      <c r="AF48" s="53" t="str">
        <f>IF(AND('Mapa final'!$AA$27="Muy Baja",'Mapa final'!$AC$27="Mayor"),CONCATENATE("R3C",'Mapa final'!$Q$27),"")</f>
        <v/>
      </c>
      <c r="AG48" s="54" t="str">
        <f>IF(AND('Mapa final'!$AA$28="Muy Baja",'Mapa final'!$AC$28="Mayor"),CONCATENATE("R3C",'Mapa final'!$Q$28),"")</f>
        <v/>
      </c>
      <c r="AH48" s="55" t="str">
        <f>IF(AND('Mapa final'!$AA$23="Muy Baja",'Mapa final'!$AC$23="Catastrófico"),CONCATENATE("R3C",'Mapa final'!$Q$23),"")</f>
        <v/>
      </c>
      <c r="AI48" s="56" t="str">
        <f>IF(AND('Mapa final'!$AA$24="Muy Baja",'Mapa final'!$AC$24="Catastrófico"),CONCATENATE("R3C",'Mapa final'!$Q$24),"")</f>
        <v/>
      </c>
      <c r="AJ48" s="56" t="str">
        <f>IF(AND('Mapa final'!$AA$25="Muy Baja",'Mapa final'!$AC$25="Catastrófico"),CONCATENATE("R3C",'Mapa final'!$Q$25),"")</f>
        <v/>
      </c>
      <c r="AK48" s="56" t="str">
        <f>IF(AND('Mapa final'!$AA$26="Muy Baja",'Mapa final'!$AC$26="Catastrófico"),CONCATENATE("R3C",'Mapa final'!$Q$26),"")</f>
        <v/>
      </c>
      <c r="AL48" s="56" t="str">
        <f>IF(AND('Mapa final'!$AA$27="Muy Baja",'Mapa final'!$AC$27="Catastrófico"),CONCATENATE("R3C",'Mapa final'!$Q$27),"")</f>
        <v/>
      </c>
      <c r="AM48" s="57" t="str">
        <f>IF(AND('Mapa final'!$AA$28="Muy Baja",'Mapa final'!$AC$28="Catastrófico"),CONCATENATE("R3C",'Mapa final'!$Q$28),"")</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313"/>
      <c r="C49" s="313"/>
      <c r="D49" s="314"/>
      <c r="E49" s="354"/>
      <c r="F49" s="355"/>
      <c r="G49" s="355"/>
      <c r="H49" s="355"/>
      <c r="I49" s="356"/>
      <c r="J49" s="77" t="str">
        <f>IF(AND('Mapa final'!$AA$29="Muy Baja",'Mapa final'!$AC$29="Leve"),CONCATENATE("R4C",'Mapa final'!$Q$29),"")</f>
        <v/>
      </c>
      <c r="K49" s="78" t="str">
        <f>IF(AND('Mapa final'!$AA$30="Muy Baja",'Mapa final'!$AC$30="Leve"),CONCATENATE("R4C",'Mapa final'!$Q$30),"")</f>
        <v/>
      </c>
      <c r="L49" s="78" t="str">
        <f>IF(AND('Mapa final'!$AA$31="Muy Baja",'Mapa final'!$AC$31="Leve"),CONCATENATE("R4C",'Mapa final'!$Q$31),"")</f>
        <v/>
      </c>
      <c r="M49" s="78" t="str">
        <f>IF(AND('Mapa final'!$AA$32="Muy Baja",'Mapa final'!$AC$32="Leve"),CONCATENATE("R4C",'Mapa final'!$Q$32),"")</f>
        <v/>
      </c>
      <c r="N49" s="78" t="str">
        <f>IF(AND('Mapa final'!$AA$33="Muy Baja",'Mapa final'!$AC$33="Leve"),CONCATENATE("R4C",'Mapa final'!$Q$33),"")</f>
        <v/>
      </c>
      <c r="O49" s="79" t="str">
        <f>IF(AND('Mapa final'!$AA$34="Muy Baja",'Mapa final'!$AC$34="Leve"),CONCATENATE("R4C",'Mapa final'!$Q$34),"")</f>
        <v/>
      </c>
      <c r="P49" s="77" t="str">
        <f>IF(AND('Mapa final'!$AA$29="Muy Baja",'Mapa final'!$AC$29="Menor"),CONCATENATE("R4C",'Mapa final'!$Q$29),"")</f>
        <v/>
      </c>
      <c r="Q49" s="78" t="str">
        <f>IF(AND('Mapa final'!$AA$30="Muy Baja",'Mapa final'!$AC$30="Menor"),CONCATENATE("R4C",'Mapa final'!$Q$30),"")</f>
        <v/>
      </c>
      <c r="R49" s="78" t="str">
        <f>IF(AND('Mapa final'!$AA$31="Muy Baja",'Mapa final'!$AC$31="Menor"),CONCATENATE("R4C",'Mapa final'!$Q$31),"")</f>
        <v/>
      </c>
      <c r="S49" s="78" t="str">
        <f>IF(AND('Mapa final'!$AA$32="Muy Baja",'Mapa final'!$AC$32="Menor"),CONCATENATE("R4C",'Mapa final'!$Q$32),"")</f>
        <v/>
      </c>
      <c r="T49" s="78" t="str">
        <f>IF(AND('Mapa final'!$AA$33="Muy Baja",'Mapa final'!$AC$33="Menor"),CONCATENATE("R4C",'Mapa final'!$Q$33),"")</f>
        <v/>
      </c>
      <c r="U49" s="79" t="str">
        <f>IF(AND('Mapa final'!$AA$34="Muy Baja",'Mapa final'!$AC$34="Menor"),CONCATENATE("R4C",'Mapa final'!$Q$34),"")</f>
        <v/>
      </c>
      <c r="V49" s="68" t="str">
        <f>IF(AND('Mapa final'!$AA$29="Muy Baja",'Mapa final'!$AC$29="Moderado"),CONCATENATE("R4C",'Mapa final'!$Q$29),"")</f>
        <v/>
      </c>
      <c r="W49" s="69" t="str">
        <f>IF(AND('Mapa final'!$AA$30="Muy Baja",'Mapa final'!$AC$30="Moderado"),CONCATENATE("R4C",'Mapa final'!$Q$30),"")</f>
        <v/>
      </c>
      <c r="X49" s="69" t="str">
        <f>IF(AND('Mapa final'!$AA$31="Muy Baja",'Mapa final'!$AC$31="Moderado"),CONCATENATE("R4C",'Mapa final'!$Q$31),"")</f>
        <v/>
      </c>
      <c r="Y49" s="69" t="str">
        <f>IF(AND('Mapa final'!$AA$32="Muy Baja",'Mapa final'!$AC$32="Moderado"),CONCATENATE("R4C",'Mapa final'!$Q$32),"")</f>
        <v/>
      </c>
      <c r="Z49" s="69" t="str">
        <f>IF(AND('Mapa final'!$AA$33="Muy Baja",'Mapa final'!$AC$33="Moderado"),CONCATENATE("R4C",'Mapa final'!$Q$33),"")</f>
        <v/>
      </c>
      <c r="AA49" s="70" t="str">
        <f>IF(AND('Mapa final'!$AA$34="Muy Baja",'Mapa final'!$AC$34="Moderado"),CONCATENATE("R4C",'Mapa final'!$Q$34),"")</f>
        <v/>
      </c>
      <c r="AB49" s="52" t="str">
        <f>IF(AND('Mapa final'!$AA$29="Muy Baja",'Mapa final'!$AC$29="Mayor"),CONCATENATE("R4C",'Mapa final'!$Q$29),"")</f>
        <v/>
      </c>
      <c r="AC49" s="53" t="str">
        <f>IF(AND('Mapa final'!$AA$30="Muy Baja",'Mapa final'!$AC$30="Mayor"),CONCATENATE("R4C",'Mapa final'!$Q$30),"")</f>
        <v/>
      </c>
      <c r="AD49" s="53" t="str">
        <f>IF(AND('Mapa final'!$AA$31="Muy Baja",'Mapa final'!$AC$31="Mayor"),CONCATENATE("R4C",'Mapa final'!$Q$31),"")</f>
        <v/>
      </c>
      <c r="AE49" s="53" t="str">
        <f>IF(AND('Mapa final'!$AA$32="Muy Baja",'Mapa final'!$AC$32="Mayor"),CONCATENATE("R4C",'Mapa final'!$Q$32),"")</f>
        <v/>
      </c>
      <c r="AF49" s="53" t="str">
        <f>IF(AND('Mapa final'!$AA$33="Muy Baja",'Mapa final'!$AC$33="Mayor"),CONCATENATE("R4C",'Mapa final'!$Q$33),"")</f>
        <v/>
      </c>
      <c r="AG49" s="54" t="str">
        <f>IF(AND('Mapa final'!$AA$34="Muy Baja",'Mapa final'!$AC$34="Mayor"),CONCATENATE("R4C",'Mapa final'!$Q$34),"")</f>
        <v/>
      </c>
      <c r="AH49" s="55" t="str">
        <f>IF(AND('Mapa final'!$AA$29="Muy Baja",'Mapa final'!$AC$29="Catastrófico"),CONCATENATE("R4C",'Mapa final'!$Q$29),"")</f>
        <v/>
      </c>
      <c r="AI49" s="56" t="str">
        <f>IF(AND('Mapa final'!$AA$30="Muy Baja",'Mapa final'!$AC$30="Catastrófico"),CONCATENATE("R4C",'Mapa final'!$Q$30),"")</f>
        <v/>
      </c>
      <c r="AJ49" s="56" t="str">
        <f>IF(AND('Mapa final'!$AA$31="Muy Baja",'Mapa final'!$AC$31="Catastrófico"),CONCATENATE("R4C",'Mapa final'!$Q$31),"")</f>
        <v/>
      </c>
      <c r="AK49" s="56" t="str">
        <f>IF(AND('Mapa final'!$AA$32="Muy Baja",'Mapa final'!$AC$32="Catastrófico"),CONCATENATE("R4C",'Mapa final'!$Q$32),"")</f>
        <v/>
      </c>
      <c r="AL49" s="56" t="str">
        <f>IF(AND('Mapa final'!$AA$33="Muy Baja",'Mapa final'!$AC$33="Catastrófico"),CONCATENATE("R4C",'Mapa final'!$Q$33),"")</f>
        <v/>
      </c>
      <c r="AM49" s="57" t="str">
        <f>IF(AND('Mapa final'!$AA$34="Muy Baja",'Mapa final'!$AC$34="Catastrófico"),CONCATENATE("R4C",'Mapa final'!$Q$34),"")</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313"/>
      <c r="C50" s="313"/>
      <c r="D50" s="314"/>
      <c r="E50" s="354"/>
      <c r="F50" s="355"/>
      <c r="G50" s="355"/>
      <c r="H50" s="355"/>
      <c r="I50" s="356"/>
      <c r="J50" s="77" t="str">
        <f>IF(AND('Mapa final'!$AA$35="Muy Baja",'Mapa final'!$AC$35="Leve"),CONCATENATE("R5C",'Mapa final'!$Q$35),"")</f>
        <v/>
      </c>
      <c r="K50" s="78" t="str">
        <f>IF(AND('Mapa final'!$AA$36="Muy Baja",'Mapa final'!$AC$36="Leve"),CONCATENATE("R5C",'Mapa final'!$Q$36),"")</f>
        <v/>
      </c>
      <c r="L50" s="78" t="str">
        <f>IF(AND('Mapa final'!$AA$37="Muy Baja",'Mapa final'!$AC$37="Leve"),CONCATENATE("R5C",'Mapa final'!$Q$37),"")</f>
        <v/>
      </c>
      <c r="M50" s="78" t="str">
        <f>IF(AND('Mapa final'!$AA$38="Muy Baja",'Mapa final'!$AC$38="Leve"),CONCATENATE("R5C",'Mapa final'!$Q$38),"")</f>
        <v/>
      </c>
      <c r="N50" s="78" t="str">
        <f>IF(AND('Mapa final'!$AA$39="Muy Baja",'Mapa final'!$AC$39="Leve"),CONCATENATE("R5C",'Mapa final'!$Q$39),"")</f>
        <v/>
      </c>
      <c r="O50" s="79" t="str">
        <f>IF(AND('Mapa final'!$AA$40="Muy Baja",'Mapa final'!$AC$40="Leve"),CONCATENATE("R5C",'Mapa final'!$Q$40),"")</f>
        <v/>
      </c>
      <c r="P50" s="77" t="str">
        <f>IF(AND('Mapa final'!$AA$35="Muy Baja",'Mapa final'!$AC$35="Menor"),CONCATENATE("R5C",'Mapa final'!$Q$35),"")</f>
        <v/>
      </c>
      <c r="Q50" s="78" t="str">
        <f>IF(AND('Mapa final'!$AA$36="Muy Baja",'Mapa final'!$AC$36="Menor"),CONCATENATE("R5C",'Mapa final'!$Q$36),"")</f>
        <v/>
      </c>
      <c r="R50" s="78" t="str">
        <f>IF(AND('Mapa final'!$AA$37="Muy Baja",'Mapa final'!$AC$37="Menor"),CONCATENATE("R5C",'Mapa final'!$Q$37),"")</f>
        <v/>
      </c>
      <c r="S50" s="78" t="str">
        <f>IF(AND('Mapa final'!$AA$38="Muy Baja",'Mapa final'!$AC$38="Menor"),CONCATENATE("R5C",'Mapa final'!$Q$38),"")</f>
        <v/>
      </c>
      <c r="T50" s="78" t="str">
        <f>IF(AND('Mapa final'!$AA$39="Muy Baja",'Mapa final'!$AC$39="Menor"),CONCATENATE("R5C",'Mapa final'!$Q$39),"")</f>
        <v/>
      </c>
      <c r="U50" s="79" t="str">
        <f>IF(AND('Mapa final'!$AA$40="Muy Baja",'Mapa final'!$AC$40="Menor"),CONCATENATE("R5C",'Mapa final'!$Q$40),"")</f>
        <v/>
      </c>
      <c r="V50" s="68" t="str">
        <f>IF(AND('Mapa final'!$AA$35="Muy Baja",'Mapa final'!$AC$35="Moderado"),CONCATENATE("R5C",'Mapa final'!$Q$35),"")</f>
        <v/>
      </c>
      <c r="W50" s="69" t="str">
        <f>IF(AND('Mapa final'!$AA$36="Muy Baja",'Mapa final'!$AC$36="Moderado"),CONCATENATE("R5C",'Mapa final'!$Q$36),"")</f>
        <v/>
      </c>
      <c r="X50" s="69" t="str">
        <f>IF(AND('Mapa final'!$AA$37="Muy Baja",'Mapa final'!$AC$37="Moderado"),CONCATENATE("R5C",'Mapa final'!$Q$37),"")</f>
        <v/>
      </c>
      <c r="Y50" s="69" t="str">
        <f>IF(AND('Mapa final'!$AA$38="Muy Baja",'Mapa final'!$AC$38="Moderado"),CONCATENATE("R5C",'Mapa final'!$Q$38),"")</f>
        <v/>
      </c>
      <c r="Z50" s="69" t="str">
        <f>IF(AND('Mapa final'!$AA$39="Muy Baja",'Mapa final'!$AC$39="Moderado"),CONCATENATE("R5C",'Mapa final'!$Q$39),"")</f>
        <v/>
      </c>
      <c r="AA50" s="70" t="str">
        <f>IF(AND('Mapa final'!$AA$40="Muy Baja",'Mapa final'!$AC$40="Moderado"),CONCATENATE("R5C",'Mapa final'!$Q$40),"")</f>
        <v/>
      </c>
      <c r="AB50" s="52" t="str">
        <f>IF(AND('Mapa final'!$AA$35="Muy Baja",'Mapa final'!$AC$35="Mayor"),CONCATENATE("R5C",'Mapa final'!$Q$35),"")</f>
        <v/>
      </c>
      <c r="AC50" s="53" t="str">
        <f>IF(AND('Mapa final'!$AA$36="Muy Baja",'Mapa final'!$AC$36="Mayor"),CONCATENATE("R5C",'Mapa final'!$Q$36),"")</f>
        <v/>
      </c>
      <c r="AD50" s="58" t="str">
        <f>IF(AND('Mapa final'!$AA$37="Muy Baja",'Mapa final'!$AC$37="Mayor"),CONCATENATE("R5C",'Mapa final'!$Q$37),"")</f>
        <v/>
      </c>
      <c r="AE50" s="58" t="str">
        <f>IF(AND('Mapa final'!$AA$38="Muy Baja",'Mapa final'!$AC$38="Mayor"),CONCATENATE("R5C",'Mapa final'!$Q$38),"")</f>
        <v/>
      </c>
      <c r="AF50" s="58" t="str">
        <f>IF(AND('Mapa final'!$AA$39="Muy Baja",'Mapa final'!$AC$39="Mayor"),CONCATENATE("R5C",'Mapa final'!$Q$39),"")</f>
        <v/>
      </c>
      <c r="AG50" s="54" t="str">
        <f>IF(AND('Mapa final'!$AA$40="Muy Baja",'Mapa final'!$AC$40="Mayor"),CONCATENATE("R5C",'Mapa final'!$Q$40),"")</f>
        <v/>
      </c>
      <c r="AH50" s="55" t="str">
        <f>IF(AND('Mapa final'!$AA$35="Muy Baja",'Mapa final'!$AC$35="Catastrófico"),CONCATENATE("R5C",'Mapa final'!$Q$35),"")</f>
        <v/>
      </c>
      <c r="AI50" s="56" t="str">
        <f>IF(AND('Mapa final'!$AA$36="Muy Baja",'Mapa final'!$AC$36="Catastrófico"),CONCATENATE("R5C",'Mapa final'!$Q$36),"")</f>
        <v/>
      </c>
      <c r="AJ50" s="56" t="str">
        <f>IF(AND('Mapa final'!$AA$37="Muy Baja",'Mapa final'!$AC$37="Catastrófico"),CONCATENATE("R5C",'Mapa final'!$Q$37),"")</f>
        <v/>
      </c>
      <c r="AK50" s="56" t="str">
        <f>IF(AND('Mapa final'!$AA$38="Muy Baja",'Mapa final'!$AC$38="Catastrófico"),CONCATENATE("R5C",'Mapa final'!$Q$38),"")</f>
        <v/>
      </c>
      <c r="AL50" s="56" t="str">
        <f>IF(AND('Mapa final'!$AA$39="Muy Baja",'Mapa final'!$AC$39="Catastrófico"),CONCATENATE("R5C",'Mapa final'!$Q$39),"")</f>
        <v/>
      </c>
      <c r="AM50" s="57" t="str">
        <f>IF(AND('Mapa final'!$AA$40="Muy Baja",'Mapa final'!$AC$40="Catastrófico"),CONCATENATE("R5C",'Mapa final'!$Q$40),"")</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313"/>
      <c r="C51" s="313"/>
      <c r="D51" s="314"/>
      <c r="E51" s="354"/>
      <c r="F51" s="355"/>
      <c r="G51" s="355"/>
      <c r="H51" s="355"/>
      <c r="I51" s="356"/>
      <c r="J51" s="77" t="str">
        <f>IF(AND('Mapa final'!$AA$41="Muy Baja",'Mapa final'!$AC$41="Leve"),CONCATENATE("R6C",'Mapa final'!$Q$41),"")</f>
        <v/>
      </c>
      <c r="K51" s="78" t="str">
        <f>IF(AND('Mapa final'!$AA$42="Muy Baja",'Mapa final'!$AC$42="Leve"),CONCATENATE("R6C",'Mapa final'!$Q$42),"")</f>
        <v/>
      </c>
      <c r="L51" s="78" t="str">
        <f>IF(AND('Mapa final'!$AA$43="Muy Baja",'Mapa final'!$AC$43="Leve"),CONCATENATE("R6C",'Mapa final'!$Q$43),"")</f>
        <v/>
      </c>
      <c r="M51" s="78" t="str">
        <f>IF(AND('Mapa final'!$AA$44="Muy Baja",'Mapa final'!$AC$44="Leve"),CONCATENATE("R6C",'Mapa final'!$Q$44),"")</f>
        <v/>
      </c>
      <c r="N51" s="78" t="str">
        <f>IF(AND('Mapa final'!$AA$45="Muy Baja",'Mapa final'!$AC$45="Leve"),CONCATENATE("R6C",'Mapa final'!$Q$45),"")</f>
        <v/>
      </c>
      <c r="O51" s="79" t="str">
        <f>IF(AND('Mapa final'!$AA$46="Muy Baja",'Mapa final'!$AC$46="Leve"),CONCATENATE("R6C",'Mapa final'!$Q$46),"")</f>
        <v/>
      </c>
      <c r="P51" s="77" t="str">
        <f>IF(AND('Mapa final'!$AA$41="Muy Baja",'Mapa final'!$AC$41="Menor"),CONCATENATE("R6C",'Mapa final'!$Q$41),"")</f>
        <v/>
      </c>
      <c r="Q51" s="78" t="str">
        <f>IF(AND('Mapa final'!$AA$42="Muy Baja",'Mapa final'!$AC$42="Menor"),CONCATENATE("R6C",'Mapa final'!$Q$42),"")</f>
        <v/>
      </c>
      <c r="R51" s="78" t="str">
        <f>IF(AND('Mapa final'!$AA$43="Muy Baja",'Mapa final'!$AC$43="Menor"),CONCATENATE("R6C",'Mapa final'!$Q$43),"")</f>
        <v/>
      </c>
      <c r="S51" s="78" t="str">
        <f>IF(AND('Mapa final'!$AA$44="Muy Baja",'Mapa final'!$AC$44="Menor"),CONCATENATE("R6C",'Mapa final'!$Q$44),"")</f>
        <v/>
      </c>
      <c r="T51" s="78" t="str">
        <f>IF(AND('Mapa final'!$AA$45="Muy Baja",'Mapa final'!$AC$45="Menor"),CONCATENATE("R6C",'Mapa final'!$Q$45),"")</f>
        <v/>
      </c>
      <c r="U51" s="79" t="str">
        <f>IF(AND('Mapa final'!$AA$46="Muy Baja",'Mapa final'!$AC$46="Menor"),CONCATENATE("R6C",'Mapa final'!$Q$46),"")</f>
        <v/>
      </c>
      <c r="V51" s="68" t="str">
        <f>IF(AND('Mapa final'!$AA$41="Muy Baja",'Mapa final'!$AC$41="Moderado"),CONCATENATE("R6C",'Mapa final'!$Q$41),"")</f>
        <v/>
      </c>
      <c r="W51" s="69" t="str">
        <f>IF(AND('Mapa final'!$AA$42="Muy Baja",'Mapa final'!$AC$42="Moderado"),CONCATENATE("R6C",'Mapa final'!$Q$42),"")</f>
        <v/>
      </c>
      <c r="X51" s="69" t="str">
        <f>IF(AND('Mapa final'!$AA$43="Muy Baja",'Mapa final'!$AC$43="Moderado"),CONCATENATE("R6C",'Mapa final'!$Q$43),"")</f>
        <v/>
      </c>
      <c r="Y51" s="69" t="str">
        <f>IF(AND('Mapa final'!$AA$44="Muy Baja",'Mapa final'!$AC$44="Moderado"),CONCATENATE("R6C",'Mapa final'!$Q$44),"")</f>
        <v/>
      </c>
      <c r="Z51" s="69" t="str">
        <f>IF(AND('Mapa final'!$AA$45="Muy Baja",'Mapa final'!$AC$45="Moderado"),CONCATENATE("R6C",'Mapa final'!$Q$45),"")</f>
        <v/>
      </c>
      <c r="AA51" s="70" t="str">
        <f>IF(AND('Mapa final'!$AA$46="Muy Baja",'Mapa final'!$AC$46="Moderado"),CONCATENATE("R6C",'Mapa final'!$Q$46),"")</f>
        <v/>
      </c>
      <c r="AB51" s="52" t="str">
        <f>IF(AND('Mapa final'!$AA$41="Muy Baja",'Mapa final'!$AC$41="Mayor"),CONCATENATE("R6C",'Mapa final'!$Q$41),"")</f>
        <v/>
      </c>
      <c r="AC51" s="53" t="str">
        <f>IF(AND('Mapa final'!$AA$42="Muy Baja",'Mapa final'!$AC$42="Mayor"),CONCATENATE("R6C",'Mapa final'!$Q$42),"")</f>
        <v/>
      </c>
      <c r="AD51" s="58" t="str">
        <f>IF(AND('Mapa final'!$AA$43="Muy Baja",'Mapa final'!$AC$43="Mayor"),CONCATENATE("R6C",'Mapa final'!$Q$43),"")</f>
        <v/>
      </c>
      <c r="AE51" s="58" t="str">
        <f>IF(AND('Mapa final'!$AA$44="Muy Baja",'Mapa final'!$AC$44="Mayor"),CONCATENATE("R6C",'Mapa final'!$Q$44),"")</f>
        <v/>
      </c>
      <c r="AF51" s="58" t="str">
        <f>IF(AND('Mapa final'!$AA$45="Muy Baja",'Mapa final'!$AC$45="Mayor"),CONCATENATE("R6C",'Mapa final'!$Q$45),"")</f>
        <v/>
      </c>
      <c r="AG51" s="54" t="str">
        <f>IF(AND('Mapa final'!$AA$46="Muy Baja",'Mapa final'!$AC$46="Mayor"),CONCATENATE("R6C",'Mapa final'!$Q$46),"")</f>
        <v/>
      </c>
      <c r="AH51" s="55" t="str">
        <f>IF(AND('Mapa final'!$AA$41="Muy Baja",'Mapa final'!$AC$41="Catastrófico"),CONCATENATE("R6C",'Mapa final'!$Q$41),"")</f>
        <v/>
      </c>
      <c r="AI51" s="56" t="str">
        <f>IF(AND('Mapa final'!$AA$42="Muy Baja",'Mapa final'!$AC$42="Catastrófico"),CONCATENATE("R6C",'Mapa final'!$Q$42),"")</f>
        <v/>
      </c>
      <c r="AJ51" s="56" t="str">
        <f>IF(AND('Mapa final'!$AA$43="Muy Baja",'Mapa final'!$AC$43="Catastrófico"),CONCATENATE("R6C",'Mapa final'!$Q$43),"")</f>
        <v/>
      </c>
      <c r="AK51" s="56" t="str">
        <f>IF(AND('Mapa final'!$AA$44="Muy Baja",'Mapa final'!$AC$44="Catastrófico"),CONCATENATE("R6C",'Mapa final'!$Q$44),"")</f>
        <v/>
      </c>
      <c r="AL51" s="56" t="str">
        <f>IF(AND('Mapa final'!$AA$45="Muy Baja",'Mapa final'!$AC$45="Catastrófico"),CONCATENATE("R6C",'Mapa final'!$Q$45),"")</f>
        <v/>
      </c>
      <c r="AM51" s="57" t="str">
        <f>IF(AND('Mapa final'!$AA$46="Muy Baja",'Mapa final'!$AC$46="Catastrófico"),CONCATENATE("R6C",'Mapa final'!$Q$46),"")</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313"/>
      <c r="C52" s="313"/>
      <c r="D52" s="314"/>
      <c r="E52" s="354"/>
      <c r="F52" s="355"/>
      <c r="G52" s="355"/>
      <c r="H52" s="355"/>
      <c r="I52" s="356"/>
      <c r="J52" s="77" t="str">
        <f>IF(AND('Mapa final'!$AA$47="Muy Baja",'Mapa final'!$AC$47="Leve"),CONCATENATE("R7C",'Mapa final'!$Q$47),"")</f>
        <v/>
      </c>
      <c r="K52" s="78" t="str">
        <f>IF(AND('Mapa final'!$AA$48="Muy Baja",'Mapa final'!$AC$48="Leve"),CONCATENATE("R7C",'Mapa final'!$Q$48),"")</f>
        <v/>
      </c>
      <c r="L52" s="78" t="str">
        <f>IF(AND('Mapa final'!$AA$49="Muy Baja",'Mapa final'!$AC$49="Leve"),CONCATENATE("R7C",'Mapa final'!$Q$49),"")</f>
        <v/>
      </c>
      <c r="M52" s="78" t="str">
        <f>IF(AND('Mapa final'!$AA$50="Muy Baja",'Mapa final'!$AC$50="Leve"),CONCATENATE("R7C",'Mapa final'!$Q$50),"")</f>
        <v/>
      </c>
      <c r="N52" s="78" t="str">
        <f>IF(AND('Mapa final'!$AA$51="Muy Baja",'Mapa final'!$AC$51="Leve"),CONCATENATE("R7C",'Mapa final'!$Q$51),"")</f>
        <v/>
      </c>
      <c r="O52" s="79" t="str">
        <f>IF(AND('Mapa final'!$AA$52="Muy Baja",'Mapa final'!$AC$52="Leve"),CONCATENATE("R7C",'Mapa final'!$Q$52),"")</f>
        <v/>
      </c>
      <c r="P52" s="77" t="str">
        <f>IF(AND('Mapa final'!$AA$47="Muy Baja",'Mapa final'!$AC$47="Menor"),CONCATENATE("R7C",'Mapa final'!$Q$47),"")</f>
        <v/>
      </c>
      <c r="Q52" s="78" t="str">
        <f>IF(AND('Mapa final'!$AA$48="Muy Baja",'Mapa final'!$AC$48="Menor"),CONCATENATE("R7C",'Mapa final'!$Q$48),"")</f>
        <v/>
      </c>
      <c r="R52" s="78" t="str">
        <f>IF(AND('Mapa final'!$AA$49="Muy Baja",'Mapa final'!$AC$49="Menor"),CONCATENATE("R7C",'Mapa final'!$Q$49),"")</f>
        <v/>
      </c>
      <c r="S52" s="78" t="str">
        <f>IF(AND('Mapa final'!$AA$50="Muy Baja",'Mapa final'!$AC$50="Menor"),CONCATENATE("R7C",'Mapa final'!$Q$50),"")</f>
        <v/>
      </c>
      <c r="T52" s="78" t="str">
        <f>IF(AND('Mapa final'!$AA$51="Muy Baja",'Mapa final'!$AC$51="Menor"),CONCATENATE("R7C",'Mapa final'!$Q$51),"")</f>
        <v/>
      </c>
      <c r="U52" s="79" t="str">
        <f>IF(AND('Mapa final'!$AA$52="Muy Baja",'Mapa final'!$AC$52="Menor"),CONCATENATE("R7C",'Mapa final'!$Q$52),"")</f>
        <v/>
      </c>
      <c r="V52" s="68" t="str">
        <f>IF(AND('Mapa final'!$AA$47="Muy Baja",'Mapa final'!$AC$47="Moderado"),CONCATENATE("R7C",'Mapa final'!$Q$47),"")</f>
        <v/>
      </c>
      <c r="W52" s="69" t="str">
        <f>IF(AND('Mapa final'!$AA$48="Muy Baja",'Mapa final'!$AC$48="Moderado"),CONCATENATE("R7C",'Mapa final'!$Q$48),"")</f>
        <v/>
      </c>
      <c r="X52" s="69" t="str">
        <f>IF(AND('Mapa final'!$AA$49="Muy Baja",'Mapa final'!$AC$49="Moderado"),CONCATENATE("R7C",'Mapa final'!$Q$49),"")</f>
        <v/>
      </c>
      <c r="Y52" s="69" t="str">
        <f>IF(AND('Mapa final'!$AA$50="Muy Baja",'Mapa final'!$AC$50="Moderado"),CONCATENATE("R7C",'Mapa final'!$Q$50),"")</f>
        <v/>
      </c>
      <c r="Z52" s="69" t="str">
        <f>IF(AND('Mapa final'!$AA$51="Muy Baja",'Mapa final'!$AC$51="Moderado"),CONCATENATE("R7C",'Mapa final'!$Q$51),"")</f>
        <v/>
      </c>
      <c r="AA52" s="70" t="str">
        <f>IF(AND('Mapa final'!$AA$52="Muy Baja",'Mapa final'!$AC$52="Moderado"),CONCATENATE("R7C",'Mapa final'!$Q$52),"")</f>
        <v/>
      </c>
      <c r="AB52" s="52" t="str">
        <f>IF(AND('Mapa final'!$AA$47="Muy Baja",'Mapa final'!$AC$47="Mayor"),CONCATENATE("R7C",'Mapa final'!$Q$47),"")</f>
        <v/>
      </c>
      <c r="AC52" s="53" t="str">
        <f>IF(AND('Mapa final'!$AA$48="Muy Baja",'Mapa final'!$AC$48="Mayor"),CONCATENATE("R7C",'Mapa final'!$Q$48),"")</f>
        <v/>
      </c>
      <c r="AD52" s="58" t="str">
        <f>IF(AND('Mapa final'!$AA$49="Muy Baja",'Mapa final'!$AC$49="Mayor"),CONCATENATE("R7C",'Mapa final'!$Q$49),"")</f>
        <v/>
      </c>
      <c r="AE52" s="58" t="str">
        <f>IF(AND('Mapa final'!$AA$50="Muy Baja",'Mapa final'!$AC$50="Mayor"),CONCATENATE("R7C",'Mapa final'!$Q$50),"")</f>
        <v/>
      </c>
      <c r="AF52" s="58" t="str">
        <f>IF(AND('Mapa final'!$AA$51="Muy Baja",'Mapa final'!$AC$51="Mayor"),CONCATENATE("R7C",'Mapa final'!$Q$51),"")</f>
        <v/>
      </c>
      <c r="AG52" s="54" t="str">
        <f>IF(AND('Mapa final'!$AA$52="Muy Baja",'Mapa final'!$AC$52="Mayor"),CONCATENATE("R7C",'Mapa final'!$Q$52),"")</f>
        <v/>
      </c>
      <c r="AH52" s="55" t="str">
        <f>IF(AND('Mapa final'!$AA$47="Muy Baja",'Mapa final'!$AC$47="Catastrófico"),CONCATENATE("R7C",'Mapa final'!$Q$47),"")</f>
        <v/>
      </c>
      <c r="AI52" s="56" t="str">
        <f>IF(AND('Mapa final'!$AA$48="Muy Baja",'Mapa final'!$AC$48="Catastrófico"),CONCATENATE("R7C",'Mapa final'!$Q$48),"")</f>
        <v/>
      </c>
      <c r="AJ52" s="56" t="str">
        <f>IF(AND('Mapa final'!$AA$49="Muy Baja",'Mapa final'!$AC$49="Catastrófico"),CONCATENATE("R7C",'Mapa final'!$Q$49),"")</f>
        <v/>
      </c>
      <c r="AK52" s="56" t="str">
        <f>IF(AND('Mapa final'!$AA$50="Muy Baja",'Mapa final'!$AC$50="Catastrófico"),CONCATENATE("R7C",'Mapa final'!$Q$50),"")</f>
        <v/>
      </c>
      <c r="AL52" s="56" t="str">
        <f>IF(AND('Mapa final'!$AA$51="Muy Baja",'Mapa final'!$AC$51="Catastrófico"),CONCATENATE("R7C",'Mapa final'!$Q$51),"")</f>
        <v/>
      </c>
      <c r="AM52" s="57" t="str">
        <f>IF(AND('Mapa final'!$AA$52="Muy Baja",'Mapa final'!$AC$52="Catastrófico"),CONCATENATE("R7C",'Mapa final'!$Q$52),"")</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313"/>
      <c r="C53" s="313"/>
      <c r="D53" s="314"/>
      <c r="E53" s="354"/>
      <c r="F53" s="355"/>
      <c r="G53" s="355"/>
      <c r="H53" s="355"/>
      <c r="I53" s="356"/>
      <c r="J53" s="77" t="str">
        <f>IF(AND('Mapa final'!$AA$53="Muy Baja",'Mapa final'!$AC$53="Leve"),CONCATENATE("R8C",'Mapa final'!$Q$53),"")</f>
        <v/>
      </c>
      <c r="K53" s="78" t="str">
        <f>IF(AND('Mapa final'!$AA$54="Muy Baja",'Mapa final'!$AC$54="Leve"),CONCATENATE("R8C",'Mapa final'!$Q$54),"")</f>
        <v/>
      </c>
      <c r="L53" s="78" t="str">
        <f>IF(AND('Mapa final'!$AA$55="Muy Baja",'Mapa final'!$AC$55="Leve"),CONCATENATE("R8C",'Mapa final'!$Q$55),"")</f>
        <v/>
      </c>
      <c r="M53" s="78" t="str">
        <f>IF(AND('Mapa final'!$AA$56="Muy Baja",'Mapa final'!$AC$56="Leve"),CONCATENATE("R8C",'Mapa final'!$Q$56),"")</f>
        <v/>
      </c>
      <c r="N53" s="78" t="str">
        <f>IF(AND('Mapa final'!$AA$57="Muy Baja",'Mapa final'!$AC$57="Leve"),CONCATENATE("R8C",'Mapa final'!$Q$57),"")</f>
        <v/>
      </c>
      <c r="O53" s="79" t="str">
        <f>IF(AND('Mapa final'!$AA$58="Muy Baja",'Mapa final'!$AC$58="Leve"),CONCATENATE("R8C",'Mapa final'!$Q$58),"")</f>
        <v/>
      </c>
      <c r="P53" s="77" t="str">
        <f>IF(AND('Mapa final'!$AA$53="Muy Baja",'Mapa final'!$AC$53="Menor"),CONCATENATE("R8C",'Mapa final'!$Q$53),"")</f>
        <v/>
      </c>
      <c r="Q53" s="78" t="str">
        <f>IF(AND('Mapa final'!$AA$54="Muy Baja",'Mapa final'!$AC$54="Menor"),CONCATENATE("R8C",'Mapa final'!$Q$54),"")</f>
        <v/>
      </c>
      <c r="R53" s="78" t="str">
        <f>IF(AND('Mapa final'!$AA$55="Muy Baja",'Mapa final'!$AC$55="Menor"),CONCATENATE("R8C",'Mapa final'!$Q$55),"")</f>
        <v/>
      </c>
      <c r="S53" s="78" t="str">
        <f>IF(AND('Mapa final'!$AA$56="Muy Baja",'Mapa final'!$AC$56="Menor"),CONCATENATE("R8C",'Mapa final'!$Q$56),"")</f>
        <v/>
      </c>
      <c r="T53" s="78" t="str">
        <f>IF(AND('Mapa final'!$AA$57="Muy Baja",'Mapa final'!$AC$57="Menor"),CONCATENATE("R8C",'Mapa final'!$Q$57),"")</f>
        <v/>
      </c>
      <c r="U53" s="79" t="str">
        <f>IF(AND('Mapa final'!$AA$58="Muy Baja",'Mapa final'!$AC$58="Menor"),CONCATENATE("R8C",'Mapa final'!$Q$58),"")</f>
        <v/>
      </c>
      <c r="V53" s="68" t="str">
        <f>IF(AND('Mapa final'!$AA$53="Muy Baja",'Mapa final'!$AC$53="Moderado"),CONCATENATE("R8C",'Mapa final'!$Q$53),"")</f>
        <v/>
      </c>
      <c r="W53" s="69" t="str">
        <f>IF(AND('Mapa final'!$AA$54="Muy Baja",'Mapa final'!$AC$54="Moderado"),CONCATENATE("R8C",'Mapa final'!$Q$54),"")</f>
        <v/>
      </c>
      <c r="X53" s="69" t="str">
        <f>IF(AND('Mapa final'!$AA$55="Muy Baja",'Mapa final'!$AC$55="Moderado"),CONCATENATE("R8C",'Mapa final'!$Q$55),"")</f>
        <v/>
      </c>
      <c r="Y53" s="69" t="str">
        <f>IF(AND('Mapa final'!$AA$56="Muy Baja",'Mapa final'!$AC$56="Moderado"),CONCATENATE("R8C",'Mapa final'!$Q$56),"")</f>
        <v/>
      </c>
      <c r="Z53" s="69" t="str">
        <f>IF(AND('Mapa final'!$AA$57="Muy Baja",'Mapa final'!$AC$57="Moderado"),CONCATENATE("R8C",'Mapa final'!$Q$57),"")</f>
        <v/>
      </c>
      <c r="AA53" s="70" t="str">
        <f>IF(AND('Mapa final'!$AA$58="Muy Baja",'Mapa final'!$AC$58="Moderado"),CONCATENATE("R8C",'Mapa final'!$Q$58),"")</f>
        <v/>
      </c>
      <c r="AB53" s="52" t="str">
        <f>IF(AND('Mapa final'!$AA$53="Muy Baja",'Mapa final'!$AC$53="Mayor"),CONCATENATE("R8C",'Mapa final'!$Q$53),"")</f>
        <v/>
      </c>
      <c r="AC53" s="53" t="str">
        <f>IF(AND('Mapa final'!$AA$54="Muy Baja",'Mapa final'!$AC$54="Mayor"),CONCATENATE("R8C",'Mapa final'!$Q$54),"")</f>
        <v/>
      </c>
      <c r="AD53" s="58" t="str">
        <f>IF(AND('Mapa final'!$AA$55="Muy Baja",'Mapa final'!$AC$55="Mayor"),CONCATENATE("R8C",'Mapa final'!$Q$55),"")</f>
        <v/>
      </c>
      <c r="AE53" s="58" t="str">
        <f>IF(AND('Mapa final'!$AA$56="Muy Baja",'Mapa final'!$AC$56="Mayor"),CONCATENATE("R8C",'Mapa final'!$Q$56),"")</f>
        <v/>
      </c>
      <c r="AF53" s="58" t="str">
        <f>IF(AND('Mapa final'!$AA$57="Muy Baja",'Mapa final'!$AC$57="Mayor"),CONCATENATE("R8C",'Mapa final'!$Q$57),"")</f>
        <v/>
      </c>
      <c r="AG53" s="54" t="str">
        <f>IF(AND('Mapa final'!$AA$58="Muy Baja",'Mapa final'!$AC$58="Mayor"),CONCATENATE("R8C",'Mapa final'!$Q$58),"")</f>
        <v/>
      </c>
      <c r="AH53" s="55" t="str">
        <f>IF(AND('Mapa final'!$AA$53="Muy Baja",'Mapa final'!$AC$53="Catastrófico"),CONCATENATE("R8C",'Mapa final'!$Q$53),"")</f>
        <v/>
      </c>
      <c r="AI53" s="56" t="str">
        <f>IF(AND('Mapa final'!$AA$54="Muy Baja",'Mapa final'!$AC$54="Catastrófico"),CONCATENATE("R8C",'Mapa final'!$Q$54),"")</f>
        <v/>
      </c>
      <c r="AJ53" s="56" t="str">
        <f>IF(AND('Mapa final'!$AA$55="Muy Baja",'Mapa final'!$AC$55="Catastrófico"),CONCATENATE("R8C",'Mapa final'!$Q$55),"")</f>
        <v/>
      </c>
      <c r="AK53" s="56" t="str">
        <f>IF(AND('Mapa final'!$AA$56="Muy Baja",'Mapa final'!$AC$56="Catastrófico"),CONCATENATE("R8C",'Mapa final'!$Q$56),"")</f>
        <v/>
      </c>
      <c r="AL53" s="56" t="str">
        <f>IF(AND('Mapa final'!$AA$57="Muy Baja",'Mapa final'!$AC$57="Catastrófico"),CONCATENATE("R8C",'Mapa final'!$Q$57),"")</f>
        <v/>
      </c>
      <c r="AM53" s="57" t="str">
        <f>IF(AND('Mapa final'!$AA$58="Muy Baja",'Mapa final'!$AC$58="Catastrófico"),CONCATENATE("R8C",'Mapa final'!$Q$58),"")</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313"/>
      <c r="C54" s="313"/>
      <c r="D54" s="314"/>
      <c r="E54" s="354"/>
      <c r="F54" s="355"/>
      <c r="G54" s="355"/>
      <c r="H54" s="355"/>
      <c r="I54" s="356"/>
      <c r="J54" s="77" t="str">
        <f>IF(AND('Mapa final'!$AA$59="Muy Baja",'Mapa final'!$AC$59="Leve"),CONCATENATE("R9C",'Mapa final'!$Q$59),"")</f>
        <v/>
      </c>
      <c r="K54" s="78" t="str">
        <f>IF(AND('Mapa final'!$AA$60="Muy Baja",'Mapa final'!$AC$60="Leve"),CONCATENATE("R9C",'Mapa final'!$Q$60),"")</f>
        <v/>
      </c>
      <c r="L54" s="78" t="str">
        <f>IF(AND('Mapa final'!$AA$61="Muy Baja",'Mapa final'!$AC$61="Leve"),CONCATENATE("R9C",'Mapa final'!$Q$61),"")</f>
        <v/>
      </c>
      <c r="M54" s="78" t="str">
        <f>IF(AND('Mapa final'!$AA$62="Muy Baja",'Mapa final'!$AC$62="Leve"),CONCATENATE("R9C",'Mapa final'!$Q$62),"")</f>
        <v/>
      </c>
      <c r="N54" s="78" t="str">
        <f>IF(AND('Mapa final'!$AA$63="Muy Baja",'Mapa final'!$AC$63="Leve"),CONCATENATE("R9C",'Mapa final'!$Q$63),"")</f>
        <v/>
      </c>
      <c r="O54" s="79" t="str">
        <f>IF(AND('Mapa final'!$AA$64="Muy Baja",'Mapa final'!$AC$64="Leve"),CONCATENATE("R9C",'Mapa final'!$Q$64),"")</f>
        <v/>
      </c>
      <c r="P54" s="77" t="str">
        <f>IF(AND('Mapa final'!$AA$59="Muy Baja",'Mapa final'!$AC$59="Menor"),CONCATENATE("R9C",'Mapa final'!$Q$59),"")</f>
        <v/>
      </c>
      <c r="Q54" s="78" t="str">
        <f>IF(AND('Mapa final'!$AA$60="Muy Baja",'Mapa final'!$AC$60="Menor"),CONCATENATE("R9C",'Mapa final'!$Q$60),"")</f>
        <v/>
      </c>
      <c r="R54" s="78" t="str">
        <f>IF(AND('Mapa final'!$AA$61="Muy Baja",'Mapa final'!$AC$61="Menor"),CONCATENATE("R9C",'Mapa final'!$Q$61),"")</f>
        <v/>
      </c>
      <c r="S54" s="78" t="str">
        <f>IF(AND('Mapa final'!$AA$62="Muy Baja",'Mapa final'!$AC$62="Menor"),CONCATENATE("R9C",'Mapa final'!$Q$62),"")</f>
        <v/>
      </c>
      <c r="T54" s="78" t="str">
        <f>IF(AND('Mapa final'!$AA$63="Muy Baja",'Mapa final'!$AC$63="Menor"),CONCATENATE("R9C",'Mapa final'!$Q$63),"")</f>
        <v/>
      </c>
      <c r="U54" s="79" t="str">
        <f>IF(AND('Mapa final'!$AA$64="Muy Baja",'Mapa final'!$AC$64="Menor"),CONCATENATE("R9C",'Mapa final'!$Q$64),"")</f>
        <v/>
      </c>
      <c r="V54" s="68" t="str">
        <f>IF(AND('Mapa final'!$AA$59="Muy Baja",'Mapa final'!$AC$59="Moderado"),CONCATENATE("R9C",'Mapa final'!$Q$59),"")</f>
        <v/>
      </c>
      <c r="W54" s="69" t="str">
        <f>IF(AND('Mapa final'!$AA$60="Muy Baja",'Mapa final'!$AC$60="Moderado"),CONCATENATE("R9C",'Mapa final'!$Q$60),"")</f>
        <v/>
      </c>
      <c r="X54" s="69" t="str">
        <f>IF(AND('Mapa final'!$AA$61="Muy Baja",'Mapa final'!$AC$61="Moderado"),CONCATENATE("R9C",'Mapa final'!$Q$61),"")</f>
        <v/>
      </c>
      <c r="Y54" s="69" t="str">
        <f>IF(AND('Mapa final'!$AA$62="Muy Baja",'Mapa final'!$AC$62="Moderado"),CONCATENATE("R9C",'Mapa final'!$Q$62),"")</f>
        <v/>
      </c>
      <c r="Z54" s="69" t="str">
        <f>IF(AND('Mapa final'!$AA$63="Muy Baja",'Mapa final'!$AC$63="Moderado"),CONCATENATE("R9C",'Mapa final'!$Q$63),"")</f>
        <v/>
      </c>
      <c r="AA54" s="70" t="str">
        <f>IF(AND('Mapa final'!$AA$64="Muy Baja",'Mapa final'!$AC$64="Moderado"),CONCATENATE("R9C",'Mapa final'!$Q$64),"")</f>
        <v/>
      </c>
      <c r="AB54" s="52" t="str">
        <f>IF(AND('Mapa final'!$AA$59="Muy Baja",'Mapa final'!$AC$59="Mayor"),CONCATENATE("R9C",'Mapa final'!$Q$59),"")</f>
        <v/>
      </c>
      <c r="AC54" s="53" t="str">
        <f>IF(AND('Mapa final'!$AA$60="Muy Baja",'Mapa final'!$AC$60="Mayor"),CONCATENATE("R9C",'Mapa final'!$Q$60),"")</f>
        <v/>
      </c>
      <c r="AD54" s="58" t="str">
        <f>IF(AND('Mapa final'!$AA$61="Muy Baja",'Mapa final'!$AC$61="Mayor"),CONCATENATE("R9C",'Mapa final'!$Q$61),"")</f>
        <v/>
      </c>
      <c r="AE54" s="58" t="str">
        <f>IF(AND('Mapa final'!$AA$62="Muy Baja",'Mapa final'!$AC$62="Mayor"),CONCATENATE("R9C",'Mapa final'!$Q$62),"")</f>
        <v/>
      </c>
      <c r="AF54" s="58" t="str">
        <f>IF(AND('Mapa final'!$AA$63="Muy Baja",'Mapa final'!$AC$63="Mayor"),CONCATENATE("R9C",'Mapa final'!$Q$63),"")</f>
        <v/>
      </c>
      <c r="AG54" s="54" t="str">
        <f>IF(AND('Mapa final'!$AA$64="Muy Baja",'Mapa final'!$AC$64="Mayor"),CONCATENATE("R9C",'Mapa final'!$Q$64),"")</f>
        <v/>
      </c>
      <c r="AH54" s="55" t="str">
        <f>IF(AND('Mapa final'!$AA$59="Muy Baja",'Mapa final'!$AC$59="Catastrófico"),CONCATENATE("R9C",'Mapa final'!$Q$59),"")</f>
        <v/>
      </c>
      <c r="AI54" s="56" t="str">
        <f>IF(AND('Mapa final'!$AA$60="Muy Baja",'Mapa final'!$AC$60="Catastrófico"),CONCATENATE("R9C",'Mapa final'!$Q$60),"")</f>
        <v/>
      </c>
      <c r="AJ54" s="56" t="str">
        <f>IF(AND('Mapa final'!$AA$61="Muy Baja",'Mapa final'!$AC$61="Catastrófico"),CONCATENATE("R9C",'Mapa final'!$Q$61),"")</f>
        <v/>
      </c>
      <c r="AK54" s="56" t="str">
        <f>IF(AND('Mapa final'!$AA$62="Muy Baja",'Mapa final'!$AC$62="Catastrófico"),CONCATENATE("R9C",'Mapa final'!$Q$62),"")</f>
        <v/>
      </c>
      <c r="AL54" s="56" t="str">
        <f>IF(AND('Mapa final'!$AA$63="Muy Baja",'Mapa final'!$AC$63="Catastrófico"),CONCATENATE("R9C",'Mapa final'!$Q$63),"")</f>
        <v/>
      </c>
      <c r="AM54" s="57" t="str">
        <f>IF(AND('Mapa final'!$AA$64="Muy Baja",'Mapa final'!$AC$64="Catastrófico"),CONCATENATE("R9C",'Mapa final'!$Q$64),"")</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313"/>
      <c r="C55" s="313"/>
      <c r="D55" s="314"/>
      <c r="E55" s="357"/>
      <c r="F55" s="358"/>
      <c r="G55" s="358"/>
      <c r="H55" s="358"/>
      <c r="I55" s="359"/>
      <c r="J55" s="80" t="str">
        <f>IF(AND('Mapa final'!$AA$65="Muy Baja",'Mapa final'!$AC$65="Leve"),CONCATENATE("R10C",'Mapa final'!$Q$65),"")</f>
        <v/>
      </c>
      <c r="K55" s="81" t="str">
        <f>IF(AND('Mapa final'!$AA$66="Muy Baja",'Mapa final'!$AC$66="Leve"),CONCATENATE("R10C",'Mapa final'!$Q$66),"")</f>
        <v/>
      </c>
      <c r="L55" s="81" t="str">
        <f>IF(AND('Mapa final'!$AA$67="Muy Baja",'Mapa final'!$AC$67="Leve"),CONCATENATE("R10C",'Mapa final'!$Q$67),"")</f>
        <v/>
      </c>
      <c r="M55" s="81" t="str">
        <f>IF(AND('Mapa final'!$AA$68="Muy Baja",'Mapa final'!$AC$68="Leve"),CONCATENATE("R10C",'Mapa final'!$Q$68),"")</f>
        <v/>
      </c>
      <c r="N55" s="81" t="str">
        <f>IF(AND('Mapa final'!$AA$69="Muy Baja",'Mapa final'!$AC$69="Leve"),CONCATENATE("R10C",'Mapa final'!$Q$69),"")</f>
        <v/>
      </c>
      <c r="O55" s="82" t="str">
        <f>IF(AND('Mapa final'!$AA$70="Muy Baja",'Mapa final'!$AC$70="Leve"),CONCATENATE("R10C",'Mapa final'!$Q$70),"")</f>
        <v/>
      </c>
      <c r="P55" s="80" t="str">
        <f>IF(AND('Mapa final'!$AA$65="Muy Baja",'Mapa final'!$AC$65="Menor"),CONCATENATE("R10C",'Mapa final'!$Q$65),"")</f>
        <v/>
      </c>
      <c r="Q55" s="81" t="str">
        <f>IF(AND('Mapa final'!$AA$66="Muy Baja",'Mapa final'!$AC$66="Menor"),CONCATENATE("R10C",'Mapa final'!$Q$66),"")</f>
        <v/>
      </c>
      <c r="R55" s="81" t="str">
        <f>IF(AND('Mapa final'!$AA$67="Muy Baja",'Mapa final'!$AC$67="Menor"),CONCATENATE("R10C",'Mapa final'!$Q$67),"")</f>
        <v/>
      </c>
      <c r="S55" s="81" t="str">
        <f>IF(AND('Mapa final'!$AA$68="Muy Baja",'Mapa final'!$AC$68="Menor"),CONCATENATE("R10C",'Mapa final'!$Q$68),"")</f>
        <v/>
      </c>
      <c r="T55" s="81" t="str">
        <f>IF(AND('Mapa final'!$AA$69="Muy Baja",'Mapa final'!$AC$69="Menor"),CONCATENATE("R10C",'Mapa final'!$Q$69),"")</f>
        <v/>
      </c>
      <c r="U55" s="82" t="str">
        <f>IF(AND('Mapa final'!$AA$70="Muy Baja",'Mapa final'!$AC$70="Menor"),CONCATENATE("R10C",'Mapa final'!$Q$70),"")</f>
        <v/>
      </c>
      <c r="V55" s="71" t="str">
        <f>IF(AND('Mapa final'!$AA$65="Muy Baja",'Mapa final'!$AC$65="Moderado"),CONCATENATE("R10C",'Mapa final'!$Q$65),"")</f>
        <v/>
      </c>
      <c r="W55" s="72" t="str">
        <f>IF(AND('Mapa final'!$AA$66="Muy Baja",'Mapa final'!$AC$66="Moderado"),CONCATENATE("R10C",'Mapa final'!$Q$66),"")</f>
        <v/>
      </c>
      <c r="X55" s="72" t="str">
        <f>IF(AND('Mapa final'!$AA$67="Muy Baja",'Mapa final'!$AC$67="Moderado"),CONCATENATE("R10C",'Mapa final'!$Q$67),"")</f>
        <v/>
      </c>
      <c r="Y55" s="72" t="str">
        <f>IF(AND('Mapa final'!$AA$68="Muy Baja",'Mapa final'!$AC$68="Moderado"),CONCATENATE("R10C",'Mapa final'!$Q$68),"")</f>
        <v/>
      </c>
      <c r="Z55" s="72" t="str">
        <f>IF(AND('Mapa final'!$AA$69="Muy Baja",'Mapa final'!$AC$69="Moderado"),CONCATENATE("R10C",'Mapa final'!$Q$69),"")</f>
        <v/>
      </c>
      <c r="AA55" s="73" t="str">
        <f>IF(AND('Mapa final'!$AA$70="Muy Baja",'Mapa final'!$AC$70="Moderado"),CONCATENATE("R10C",'Mapa final'!$Q$70),"")</f>
        <v/>
      </c>
      <c r="AB55" s="59" t="str">
        <f>IF(AND('Mapa final'!$AA$65="Muy Baja",'Mapa final'!$AC$65="Mayor"),CONCATENATE("R10C",'Mapa final'!$Q$65),"")</f>
        <v/>
      </c>
      <c r="AC55" s="60" t="str">
        <f>IF(AND('Mapa final'!$AA$66="Muy Baja",'Mapa final'!$AC$66="Mayor"),CONCATENATE("R10C",'Mapa final'!$Q$66),"")</f>
        <v/>
      </c>
      <c r="AD55" s="60" t="str">
        <f>IF(AND('Mapa final'!$AA$67="Muy Baja",'Mapa final'!$AC$67="Mayor"),CONCATENATE("R10C",'Mapa final'!$Q$67),"")</f>
        <v/>
      </c>
      <c r="AE55" s="60" t="str">
        <f>IF(AND('Mapa final'!$AA$68="Muy Baja",'Mapa final'!$AC$68="Mayor"),CONCATENATE("R10C",'Mapa final'!$Q$68),"")</f>
        <v/>
      </c>
      <c r="AF55" s="60" t="str">
        <f>IF(AND('Mapa final'!$AA$69="Muy Baja",'Mapa final'!$AC$69="Mayor"),CONCATENATE("R10C",'Mapa final'!$Q$69),"")</f>
        <v/>
      </c>
      <c r="AG55" s="61" t="str">
        <f>IF(AND('Mapa final'!$AA$70="Muy Baja",'Mapa final'!$AC$70="Mayor"),CONCATENATE("R10C",'Mapa final'!$Q$70),"")</f>
        <v/>
      </c>
      <c r="AH55" s="62" t="str">
        <f>IF(AND('Mapa final'!$AA$65="Muy Baja",'Mapa final'!$AC$65="Catastrófico"),CONCATENATE("R10C",'Mapa final'!$Q$65),"")</f>
        <v/>
      </c>
      <c r="AI55" s="63" t="str">
        <f>IF(AND('Mapa final'!$AA$66="Muy Baja",'Mapa final'!$AC$66="Catastrófico"),CONCATENATE("R10C",'Mapa final'!$Q$66),"")</f>
        <v/>
      </c>
      <c r="AJ55" s="63" t="str">
        <f>IF(AND('Mapa final'!$AA$67="Muy Baja",'Mapa final'!$AC$67="Catastrófico"),CONCATENATE("R10C",'Mapa final'!$Q$67),"")</f>
        <v/>
      </c>
      <c r="AK55" s="63" t="str">
        <f>IF(AND('Mapa final'!$AA$68="Muy Baja",'Mapa final'!$AC$68="Catastrófico"),CONCATENATE("R10C",'Mapa final'!$Q$68),"")</f>
        <v/>
      </c>
      <c r="AL55" s="63" t="str">
        <f>IF(AND('Mapa final'!$AA$69="Muy Baja",'Mapa final'!$AC$69="Catastrófico"),CONCATENATE("R10C",'Mapa final'!$Q$69),"")</f>
        <v/>
      </c>
      <c r="AM55" s="64" t="str">
        <f>IF(AND('Mapa final'!$AA$70="Muy Baja",'Mapa final'!$AC$70="Catastrófico"),CONCATENATE("R10C",'Mapa final'!$Q$70),"")</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51" t="s">
        <v>104</v>
      </c>
      <c r="K56" s="352"/>
      <c r="L56" s="352"/>
      <c r="M56" s="352"/>
      <c r="N56" s="352"/>
      <c r="O56" s="353"/>
      <c r="P56" s="351" t="s">
        <v>103</v>
      </c>
      <c r="Q56" s="352"/>
      <c r="R56" s="352"/>
      <c r="S56" s="352"/>
      <c r="T56" s="352"/>
      <c r="U56" s="353"/>
      <c r="V56" s="351" t="s">
        <v>102</v>
      </c>
      <c r="W56" s="352"/>
      <c r="X56" s="352"/>
      <c r="Y56" s="352"/>
      <c r="Z56" s="352"/>
      <c r="AA56" s="353"/>
      <c r="AB56" s="351" t="s">
        <v>101</v>
      </c>
      <c r="AC56" s="360"/>
      <c r="AD56" s="352"/>
      <c r="AE56" s="352"/>
      <c r="AF56" s="352"/>
      <c r="AG56" s="353"/>
      <c r="AH56" s="351" t="s">
        <v>100</v>
      </c>
      <c r="AI56" s="352"/>
      <c r="AJ56" s="352"/>
      <c r="AK56" s="352"/>
      <c r="AL56" s="352"/>
      <c r="AM56" s="353"/>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54"/>
      <c r="K57" s="355"/>
      <c r="L57" s="355"/>
      <c r="M57" s="355"/>
      <c r="N57" s="355"/>
      <c r="O57" s="356"/>
      <c r="P57" s="354"/>
      <c r="Q57" s="355"/>
      <c r="R57" s="355"/>
      <c r="S57" s="355"/>
      <c r="T57" s="355"/>
      <c r="U57" s="356"/>
      <c r="V57" s="354"/>
      <c r="W57" s="355"/>
      <c r="X57" s="355"/>
      <c r="Y57" s="355"/>
      <c r="Z57" s="355"/>
      <c r="AA57" s="356"/>
      <c r="AB57" s="354"/>
      <c r="AC57" s="355"/>
      <c r="AD57" s="355"/>
      <c r="AE57" s="355"/>
      <c r="AF57" s="355"/>
      <c r="AG57" s="356"/>
      <c r="AH57" s="354"/>
      <c r="AI57" s="355"/>
      <c r="AJ57" s="355"/>
      <c r="AK57" s="355"/>
      <c r="AL57" s="355"/>
      <c r="AM57" s="356"/>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54"/>
      <c r="K58" s="355"/>
      <c r="L58" s="355"/>
      <c r="M58" s="355"/>
      <c r="N58" s="355"/>
      <c r="O58" s="356"/>
      <c r="P58" s="354"/>
      <c r="Q58" s="355"/>
      <c r="R58" s="355"/>
      <c r="S58" s="355"/>
      <c r="T58" s="355"/>
      <c r="U58" s="356"/>
      <c r="V58" s="354"/>
      <c r="W58" s="355"/>
      <c r="X58" s="355"/>
      <c r="Y58" s="355"/>
      <c r="Z58" s="355"/>
      <c r="AA58" s="356"/>
      <c r="AB58" s="354"/>
      <c r="AC58" s="355"/>
      <c r="AD58" s="355"/>
      <c r="AE58" s="355"/>
      <c r="AF58" s="355"/>
      <c r="AG58" s="356"/>
      <c r="AH58" s="354"/>
      <c r="AI58" s="355"/>
      <c r="AJ58" s="355"/>
      <c r="AK58" s="355"/>
      <c r="AL58" s="355"/>
      <c r="AM58" s="356"/>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54"/>
      <c r="K59" s="355"/>
      <c r="L59" s="355"/>
      <c r="M59" s="355"/>
      <c r="N59" s="355"/>
      <c r="O59" s="356"/>
      <c r="P59" s="354"/>
      <c r="Q59" s="355"/>
      <c r="R59" s="355"/>
      <c r="S59" s="355"/>
      <c r="T59" s="355"/>
      <c r="U59" s="356"/>
      <c r="V59" s="354"/>
      <c r="W59" s="355"/>
      <c r="X59" s="355"/>
      <c r="Y59" s="355"/>
      <c r="Z59" s="355"/>
      <c r="AA59" s="356"/>
      <c r="AB59" s="354"/>
      <c r="AC59" s="355"/>
      <c r="AD59" s="355"/>
      <c r="AE59" s="355"/>
      <c r="AF59" s="355"/>
      <c r="AG59" s="356"/>
      <c r="AH59" s="354"/>
      <c r="AI59" s="355"/>
      <c r="AJ59" s="355"/>
      <c r="AK59" s="355"/>
      <c r="AL59" s="355"/>
      <c r="AM59" s="356"/>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54"/>
      <c r="K60" s="355"/>
      <c r="L60" s="355"/>
      <c r="M60" s="355"/>
      <c r="N60" s="355"/>
      <c r="O60" s="356"/>
      <c r="P60" s="354"/>
      <c r="Q60" s="355"/>
      <c r="R60" s="355"/>
      <c r="S60" s="355"/>
      <c r="T60" s="355"/>
      <c r="U60" s="356"/>
      <c r="V60" s="354"/>
      <c r="W60" s="355"/>
      <c r="X60" s="355"/>
      <c r="Y60" s="355"/>
      <c r="Z60" s="355"/>
      <c r="AA60" s="356"/>
      <c r="AB60" s="354"/>
      <c r="AC60" s="355"/>
      <c r="AD60" s="355"/>
      <c r="AE60" s="355"/>
      <c r="AF60" s="355"/>
      <c r="AG60" s="356"/>
      <c r="AH60" s="354"/>
      <c r="AI60" s="355"/>
      <c r="AJ60" s="355"/>
      <c r="AK60" s="355"/>
      <c r="AL60" s="355"/>
      <c r="AM60" s="356"/>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57"/>
      <c r="K61" s="358"/>
      <c r="L61" s="358"/>
      <c r="M61" s="358"/>
      <c r="N61" s="358"/>
      <c r="O61" s="359"/>
      <c r="P61" s="357"/>
      <c r="Q61" s="358"/>
      <c r="R61" s="358"/>
      <c r="S61" s="358"/>
      <c r="T61" s="358"/>
      <c r="U61" s="359"/>
      <c r="V61" s="357"/>
      <c r="W61" s="358"/>
      <c r="X61" s="358"/>
      <c r="Y61" s="358"/>
      <c r="Z61" s="358"/>
      <c r="AA61" s="359"/>
      <c r="AB61" s="357"/>
      <c r="AC61" s="358"/>
      <c r="AD61" s="358"/>
      <c r="AE61" s="358"/>
      <c r="AF61" s="358"/>
      <c r="AG61" s="359"/>
      <c r="AH61" s="357"/>
      <c r="AI61" s="358"/>
      <c r="AJ61" s="358"/>
      <c r="AK61" s="358"/>
      <c r="AL61" s="358"/>
      <c r="AM61" s="359"/>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B8" sqref="B8"/>
    </sheetView>
  </sheetViews>
  <sheetFormatPr baseColWidth="10" defaultRowHeight="14.4" x14ac:dyDescent="0.3"/>
  <cols>
    <col min="2" max="2" width="24.109375" customWidth="1"/>
    <col min="3" max="3" width="70.109375" customWidth="1"/>
    <col min="4" max="4" width="29.77734375" customWidth="1"/>
  </cols>
  <sheetData>
    <row r="1" spans="1:37" ht="23.4" x14ac:dyDescent="0.3">
      <c r="A1" s="84"/>
      <c r="B1" s="401" t="s">
        <v>53</v>
      </c>
      <c r="C1" s="401"/>
      <c r="D1" s="401"/>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50</v>
      </c>
      <c r="D3" s="12" t="s">
        <v>3</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49</v>
      </c>
      <c r="C4" s="14" t="s">
        <v>206</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51</v>
      </c>
      <c r="C5" s="17" t="s">
        <v>207</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99</v>
      </c>
      <c r="C6" s="17" t="s">
        <v>208</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5</v>
      </c>
      <c r="C7" s="17" t="s">
        <v>209</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52</v>
      </c>
      <c r="C8" s="17" t="s">
        <v>210</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8"/>
  <sheetViews>
    <sheetView zoomScale="60" zoomScaleNormal="60" workbookViewId="0">
      <selection activeCell="A210" sqref="A210"/>
    </sheetView>
  </sheetViews>
  <sheetFormatPr baseColWidth="10" defaultRowHeight="14.4" x14ac:dyDescent="0.3"/>
  <cols>
    <col min="2" max="2" width="40.44140625" customWidth="1"/>
    <col min="3" max="3" width="74.77734375" customWidth="1"/>
    <col min="4" max="4" width="126.33203125" bestFit="1" customWidth="1"/>
    <col min="5" max="5" width="12.44140625" bestFit="1" customWidth="1"/>
    <col min="6" max="6" width="144.77734375" bestFit="1" customWidth="1"/>
    <col min="7" max="7" width="47.109375" bestFit="1" customWidth="1"/>
    <col min="8" max="8" width="125.109375" bestFit="1" customWidth="1"/>
    <col min="9" max="9" width="146.109375" bestFit="1" customWidth="1"/>
    <col min="10" max="10" width="52.109375" bestFit="1" customWidth="1"/>
    <col min="11" max="11" width="147.44140625" bestFit="1" customWidth="1"/>
    <col min="12" max="12" width="16.44140625" bestFit="1" customWidth="1"/>
  </cols>
  <sheetData>
    <row r="1" spans="1:21" ht="32.4" x14ac:dyDescent="0.3">
      <c r="A1" s="84"/>
      <c r="B1" s="402" t="s">
        <v>61</v>
      </c>
      <c r="C1" s="402"/>
      <c r="D1" s="402"/>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54</v>
      </c>
      <c r="D3" s="36" t="s">
        <v>55</v>
      </c>
      <c r="E3" s="84"/>
      <c r="F3" s="84"/>
      <c r="G3" s="84"/>
      <c r="H3" s="84"/>
      <c r="I3" s="84"/>
      <c r="J3" s="84"/>
      <c r="K3" s="84"/>
      <c r="L3" s="84"/>
      <c r="M3" s="84"/>
      <c r="N3" s="84"/>
      <c r="O3" s="84"/>
      <c r="P3" s="84"/>
      <c r="Q3" s="84"/>
      <c r="R3" s="84"/>
      <c r="S3" s="84"/>
      <c r="T3" s="84"/>
      <c r="U3" s="84"/>
    </row>
    <row r="4" spans="1:21" ht="32.4" x14ac:dyDescent="0.3">
      <c r="A4" s="104" t="s">
        <v>80</v>
      </c>
      <c r="B4" s="39" t="s">
        <v>98</v>
      </c>
      <c r="C4" s="44" t="s">
        <v>141</v>
      </c>
      <c r="D4" s="37" t="s">
        <v>94</v>
      </c>
      <c r="E4" s="84"/>
      <c r="F4" s="84"/>
      <c r="G4" s="84"/>
      <c r="H4" s="84"/>
      <c r="I4" s="84"/>
      <c r="J4" s="84"/>
      <c r="K4" s="84"/>
      <c r="L4" s="84"/>
      <c r="M4" s="84"/>
      <c r="N4" s="84"/>
      <c r="O4" s="84"/>
      <c r="P4" s="84"/>
      <c r="Q4" s="84"/>
      <c r="R4" s="84"/>
      <c r="S4" s="84"/>
      <c r="T4" s="84"/>
      <c r="U4" s="84"/>
    </row>
    <row r="5" spans="1:21" ht="97.2" x14ac:dyDescent="0.3">
      <c r="A5" s="104" t="s">
        <v>81</v>
      </c>
      <c r="B5" s="40" t="s">
        <v>57</v>
      </c>
      <c r="C5" s="45" t="s">
        <v>90</v>
      </c>
      <c r="D5" s="38" t="s">
        <v>95</v>
      </c>
      <c r="E5" s="84"/>
      <c r="F5" s="84"/>
      <c r="G5" s="84"/>
      <c r="H5" s="84"/>
      <c r="I5" s="84"/>
      <c r="J5" s="84"/>
      <c r="K5" s="84"/>
      <c r="L5" s="84"/>
      <c r="M5" s="84"/>
      <c r="N5" s="84"/>
      <c r="O5" s="84"/>
      <c r="P5" s="84"/>
      <c r="Q5" s="84"/>
      <c r="R5" s="84"/>
      <c r="S5" s="84"/>
      <c r="T5" s="84"/>
      <c r="U5" s="84"/>
    </row>
    <row r="6" spans="1:21" ht="64.8" x14ac:dyDescent="0.3">
      <c r="A6" s="104" t="s">
        <v>78</v>
      </c>
      <c r="B6" s="41" t="s">
        <v>58</v>
      </c>
      <c r="C6" s="45" t="s">
        <v>91</v>
      </c>
      <c r="D6" s="38" t="s">
        <v>97</v>
      </c>
      <c r="E6" s="84"/>
      <c r="F6" s="84"/>
      <c r="G6" s="84"/>
      <c r="H6" s="84"/>
      <c r="I6" s="84"/>
      <c r="J6" s="84"/>
      <c r="K6" s="84"/>
      <c r="L6" s="84"/>
      <c r="M6" s="84"/>
      <c r="N6" s="84"/>
      <c r="O6" s="84"/>
      <c r="P6" s="84"/>
      <c r="Q6" s="84"/>
      <c r="R6" s="84"/>
      <c r="S6" s="84"/>
      <c r="T6" s="84"/>
      <c r="U6" s="84"/>
    </row>
    <row r="7" spans="1:21" ht="97.2" x14ac:dyDescent="0.3">
      <c r="A7" s="104" t="s">
        <v>6</v>
      </c>
      <c r="B7" s="42" t="s">
        <v>59</v>
      </c>
      <c r="C7" s="45" t="s">
        <v>92</v>
      </c>
      <c r="D7" s="38" t="s">
        <v>96</v>
      </c>
      <c r="E7" s="84"/>
      <c r="F7" s="84"/>
      <c r="G7" s="84"/>
      <c r="H7" s="84"/>
      <c r="I7" s="84"/>
      <c r="J7" s="84"/>
      <c r="K7" s="84"/>
      <c r="L7" s="84"/>
      <c r="M7" s="84"/>
      <c r="N7" s="84"/>
      <c r="O7" s="84"/>
      <c r="P7" s="84"/>
      <c r="Q7" s="84"/>
      <c r="R7" s="84"/>
      <c r="S7" s="84"/>
      <c r="T7" s="84"/>
      <c r="U7" s="84"/>
    </row>
    <row r="8" spans="1:21" ht="64.8" x14ac:dyDescent="0.3">
      <c r="A8" s="104" t="s">
        <v>82</v>
      </c>
      <c r="B8" s="43" t="s">
        <v>60</v>
      </c>
      <c r="C8" s="45" t="s">
        <v>93</v>
      </c>
      <c r="D8" s="38" t="s">
        <v>110</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88</v>
      </c>
      <c r="C11" s="104" t="s">
        <v>129</v>
      </c>
      <c r="D11" s="104" t="s">
        <v>136</v>
      </c>
      <c r="E11" s="84"/>
      <c r="F11" s="84"/>
      <c r="G11" s="84"/>
      <c r="H11" s="84"/>
      <c r="I11" s="84"/>
      <c r="J11" s="84"/>
      <c r="K11" s="84"/>
      <c r="L11" s="84"/>
      <c r="M11" s="84"/>
      <c r="N11" s="84"/>
      <c r="O11" s="84"/>
      <c r="P11" s="84"/>
      <c r="Q11" s="84"/>
      <c r="R11" s="84"/>
      <c r="S11" s="84"/>
      <c r="T11" s="84"/>
      <c r="U11" s="84"/>
    </row>
    <row r="12" spans="1:21" x14ac:dyDescent="0.3">
      <c r="A12" s="104"/>
      <c r="B12" s="104" t="s">
        <v>86</v>
      </c>
      <c r="C12" s="104" t="s">
        <v>133</v>
      </c>
      <c r="D12" s="104" t="s">
        <v>137</v>
      </c>
      <c r="E12" s="84"/>
      <c r="F12" s="84"/>
      <c r="G12" s="84"/>
      <c r="H12" s="84"/>
      <c r="I12" s="84"/>
      <c r="J12" s="84"/>
      <c r="K12" s="84"/>
      <c r="L12" s="84"/>
      <c r="M12" s="84"/>
      <c r="N12" s="84"/>
      <c r="O12" s="84"/>
      <c r="P12" s="84"/>
      <c r="Q12" s="84"/>
      <c r="R12" s="84"/>
      <c r="S12" s="84"/>
      <c r="T12" s="84"/>
      <c r="U12" s="84"/>
    </row>
    <row r="13" spans="1:21" x14ac:dyDescent="0.3">
      <c r="A13" s="104"/>
      <c r="B13" s="104"/>
      <c r="C13" s="104" t="s">
        <v>132</v>
      </c>
      <c r="D13" s="104" t="s">
        <v>138</v>
      </c>
      <c r="E13" s="84"/>
      <c r="F13" s="84"/>
      <c r="G13" s="84"/>
      <c r="H13" s="84"/>
      <c r="I13" s="84"/>
      <c r="J13" s="84"/>
      <c r="K13" s="84"/>
      <c r="L13" s="84"/>
      <c r="M13" s="84"/>
      <c r="N13" s="84"/>
      <c r="O13" s="84"/>
      <c r="P13" s="84"/>
      <c r="Q13" s="84"/>
      <c r="R13" s="84"/>
      <c r="S13" s="84"/>
      <c r="T13" s="84"/>
      <c r="U13" s="84"/>
    </row>
    <row r="14" spans="1:21" x14ac:dyDescent="0.3">
      <c r="A14" s="104"/>
      <c r="B14" s="104"/>
      <c r="C14" s="104" t="s">
        <v>134</v>
      </c>
      <c r="D14" s="104" t="s">
        <v>139</v>
      </c>
      <c r="E14" s="84"/>
      <c r="F14" s="84"/>
      <c r="G14" s="84"/>
      <c r="H14" s="84"/>
      <c r="I14" s="84"/>
      <c r="J14" s="84"/>
      <c r="K14" s="84"/>
      <c r="L14" s="84"/>
      <c r="M14" s="84"/>
      <c r="N14" s="84"/>
      <c r="O14" s="84"/>
      <c r="P14" s="84"/>
      <c r="Q14" s="84"/>
      <c r="R14" s="84"/>
      <c r="S14" s="84"/>
      <c r="T14" s="84"/>
      <c r="U14" s="84"/>
    </row>
    <row r="15" spans="1:21" x14ac:dyDescent="0.3">
      <c r="A15" s="104"/>
      <c r="B15" s="104"/>
      <c r="C15" s="104" t="s">
        <v>135</v>
      </c>
      <c r="D15" s="104" t="s">
        <v>140</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85</v>
      </c>
      <c r="C209" s="30" t="s">
        <v>128</v>
      </c>
      <c r="D209" s="33" t="s">
        <v>85</v>
      </c>
      <c r="E209" s="33" t="s">
        <v>128</v>
      </c>
    </row>
    <row r="210" spans="1:8" ht="21" x14ac:dyDescent="0.4">
      <c r="A210" s="84"/>
      <c r="B210" s="31" t="s">
        <v>87</v>
      </c>
      <c r="C210" s="31" t="s">
        <v>56</v>
      </c>
      <c r="D210" t="s">
        <v>87</v>
      </c>
      <c r="F210" t="str">
        <f>IF(NOT(ISBLANK(D210)),D210,IF(NOT(ISBLANK(E210)),"     "&amp;E210,FALSE))</f>
        <v>Afectación Económica o presupuestal</v>
      </c>
      <c r="G210" t="s">
        <v>87</v>
      </c>
      <c r="H210" t="str">
        <f>IF(NOT(ISERROR(MATCH(G210,_xlfn.ANCHORARRAY(B221),0))),F223&amp;"Por favor no seleccionar los criterios de impacto",G210)</f>
        <v>❌Por favor no seleccionar los criterios de impacto</v>
      </c>
    </row>
    <row r="211" spans="1:8" ht="21" x14ac:dyDescent="0.4">
      <c r="A211" s="84"/>
      <c r="B211" s="31" t="s">
        <v>87</v>
      </c>
      <c r="C211" s="31" t="s">
        <v>90</v>
      </c>
      <c r="E211" t="s">
        <v>56</v>
      </c>
      <c r="F211" t="str">
        <f t="shared" ref="F211:F221" si="0">IF(NOT(ISBLANK(D211)),D211,IF(NOT(ISBLANK(E211)),"     "&amp;E211,FALSE))</f>
        <v xml:space="preserve">     Afectación menor a 10 SMLMV .</v>
      </c>
    </row>
    <row r="212" spans="1:8" ht="21" x14ac:dyDescent="0.4">
      <c r="A212" s="84"/>
      <c r="B212" s="31" t="s">
        <v>87</v>
      </c>
      <c r="C212" s="31" t="s">
        <v>91</v>
      </c>
      <c r="E212" t="s">
        <v>90</v>
      </c>
      <c r="F212" t="str">
        <f t="shared" si="0"/>
        <v xml:space="preserve">     Entre 10 y 50 SMLMV </v>
      </c>
    </row>
    <row r="213" spans="1:8" ht="21" x14ac:dyDescent="0.4">
      <c r="A213" s="84"/>
      <c r="B213" s="31" t="s">
        <v>87</v>
      </c>
      <c r="C213" s="31" t="s">
        <v>92</v>
      </c>
      <c r="E213" t="s">
        <v>91</v>
      </c>
      <c r="F213" t="str">
        <f t="shared" si="0"/>
        <v xml:space="preserve">     Entre 50 y 100 SMLMV </v>
      </c>
    </row>
    <row r="214" spans="1:8" ht="21" x14ac:dyDescent="0.4">
      <c r="A214" s="84"/>
      <c r="B214" s="31" t="s">
        <v>87</v>
      </c>
      <c r="C214" s="31" t="s">
        <v>93</v>
      </c>
      <c r="E214" t="s">
        <v>92</v>
      </c>
      <c r="F214" t="str">
        <f t="shared" si="0"/>
        <v xml:space="preserve">     Entre 100 y 500 SMLMV </v>
      </c>
    </row>
    <row r="215" spans="1:8" ht="21" x14ac:dyDescent="0.4">
      <c r="A215" s="84"/>
      <c r="B215" s="31" t="s">
        <v>55</v>
      </c>
      <c r="C215" s="31" t="s">
        <v>94</v>
      </c>
      <c r="E215" t="s">
        <v>93</v>
      </c>
      <c r="F215" t="str">
        <f t="shared" si="0"/>
        <v xml:space="preserve">     Mayor a 500 SMLMV </v>
      </c>
    </row>
    <row r="216" spans="1:8" ht="21" x14ac:dyDescent="0.4">
      <c r="A216" s="84"/>
      <c r="B216" s="31" t="s">
        <v>55</v>
      </c>
      <c r="C216" s="31" t="s">
        <v>95</v>
      </c>
      <c r="D216" t="s">
        <v>55</v>
      </c>
      <c r="F216" t="str">
        <f t="shared" si="0"/>
        <v>Pérdida Reputacional</v>
      </c>
    </row>
    <row r="217" spans="1:8" ht="21" x14ac:dyDescent="0.4">
      <c r="A217" s="84"/>
      <c r="B217" s="31" t="s">
        <v>55</v>
      </c>
      <c r="C217" s="31" t="s">
        <v>97</v>
      </c>
      <c r="E217" t="s">
        <v>94</v>
      </c>
      <c r="F217" t="str">
        <f t="shared" si="0"/>
        <v xml:space="preserve">     El riesgo afecta la imagen de alguna área de la organización</v>
      </c>
    </row>
    <row r="218" spans="1:8" ht="21" x14ac:dyDescent="0.4">
      <c r="A218" s="84"/>
      <c r="B218" s="31" t="s">
        <v>55</v>
      </c>
      <c r="C218" s="31" t="s">
        <v>96</v>
      </c>
      <c r="E218" t="s">
        <v>95</v>
      </c>
      <c r="F218" t="str">
        <f t="shared" si="0"/>
        <v xml:space="preserve">     El riesgo afecta la imagen de la entidad internamente, de conocimiento general, nivel interno, de junta dircetiva y accionistas y/o de provedores</v>
      </c>
    </row>
    <row r="219" spans="1:8" ht="21" x14ac:dyDescent="0.4">
      <c r="A219" s="84"/>
      <c r="B219" s="31" t="s">
        <v>55</v>
      </c>
      <c r="C219" s="31" t="s">
        <v>110</v>
      </c>
      <c r="E219" t="s">
        <v>97</v>
      </c>
      <c r="F219" t="str">
        <f t="shared" si="0"/>
        <v xml:space="preserve">     El riesgo afecta la imagen de la entidad con algunos usuarios de relevancia frente al logro de los objetivos</v>
      </c>
    </row>
    <row r="220" spans="1:8" x14ac:dyDescent="0.3">
      <c r="A220" s="84"/>
      <c r="B220" s="32"/>
      <c r="C220" s="32"/>
      <c r="E220" t="s">
        <v>96</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110</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130</v>
      </c>
    </row>
    <row r="224" spans="1:8" x14ac:dyDescent="0.3">
      <c r="B224" s="22"/>
      <c r="C224" s="22"/>
      <c r="F224" s="35" t="s">
        <v>131</v>
      </c>
    </row>
    <row r="225" spans="2:4" x14ac:dyDescent="0.3">
      <c r="B225" s="22"/>
      <c r="C225" s="22"/>
    </row>
    <row r="226" spans="2:4" x14ac:dyDescent="0.3">
      <c r="B226" s="22"/>
      <c r="C226" s="22"/>
    </row>
    <row r="227" spans="2:4" x14ac:dyDescent="0.3">
      <c r="B227" s="22" t="s">
        <v>200</v>
      </c>
      <c r="C227" s="22"/>
      <c r="D227" s="22"/>
    </row>
    <row r="228" spans="2:4" x14ac:dyDescent="0.3">
      <c r="B228" t="s">
        <v>85</v>
      </c>
      <c r="C228" s="22" t="s">
        <v>128</v>
      </c>
      <c r="D228" s="33" t="s">
        <v>201</v>
      </c>
    </row>
    <row r="229" spans="2:4" x14ac:dyDescent="0.3">
      <c r="B229" s="150" t="s">
        <v>203</v>
      </c>
      <c r="C229" s="22" t="s">
        <v>193</v>
      </c>
      <c r="D229" s="148" t="s">
        <v>203</v>
      </c>
    </row>
    <row r="230" spans="2:4" x14ac:dyDescent="0.3">
      <c r="B230" s="150" t="s">
        <v>203</v>
      </c>
      <c r="C230" s="22" t="s">
        <v>194</v>
      </c>
      <c r="D230" s="149" t="s">
        <v>193</v>
      </c>
    </row>
    <row r="231" spans="2:4" x14ac:dyDescent="0.3">
      <c r="B231" s="150" t="s">
        <v>203</v>
      </c>
      <c r="C231" s="22" t="s">
        <v>195</v>
      </c>
      <c r="D231" s="149" t="s">
        <v>194</v>
      </c>
    </row>
    <row r="232" spans="2:4" x14ac:dyDescent="0.3">
      <c r="B232" s="150" t="s">
        <v>204</v>
      </c>
      <c r="C232" s="22" t="s">
        <v>196</v>
      </c>
      <c r="D232" s="149" t="s">
        <v>195</v>
      </c>
    </row>
    <row r="233" spans="2:4" x14ac:dyDescent="0.3">
      <c r="B233" s="150" t="s">
        <v>204</v>
      </c>
      <c r="C233" s="22" t="s">
        <v>197</v>
      </c>
      <c r="D233" s="148" t="s">
        <v>204</v>
      </c>
    </row>
    <row r="234" spans="2:4" x14ac:dyDescent="0.3">
      <c r="B234" s="150" t="s">
        <v>204</v>
      </c>
      <c r="C234" s="22" t="s">
        <v>198</v>
      </c>
      <c r="D234" s="149" t="s">
        <v>196</v>
      </c>
    </row>
    <row r="235" spans="2:4" x14ac:dyDescent="0.3">
      <c r="B235" s="150" t="s">
        <v>204</v>
      </c>
      <c r="C235" s="22" t="s">
        <v>199</v>
      </c>
      <c r="D235" s="149" t="s">
        <v>197</v>
      </c>
    </row>
    <row r="236" spans="2:4" x14ac:dyDescent="0.3">
      <c r="D236" s="149" t="s">
        <v>198</v>
      </c>
    </row>
    <row r="237" spans="2:4" x14ac:dyDescent="0.3">
      <c r="D237" s="149" t="s">
        <v>199</v>
      </c>
    </row>
    <row r="238" spans="2:4" x14ac:dyDescent="0.3">
      <c r="D238" s="148" t="s">
        <v>202</v>
      </c>
    </row>
  </sheetData>
  <mergeCells count="1">
    <mergeCell ref="B1:D1"/>
  </mergeCells>
  <dataValidations count="1">
    <dataValidation type="list" allowBlank="1" showInputMessage="1" showErrorMessage="1" sqref="G21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F4" sqref="F4:F6"/>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403" t="s">
        <v>205</v>
      </c>
      <c r="C1" s="404"/>
      <c r="D1" s="404"/>
      <c r="E1" s="404"/>
      <c r="F1" s="405"/>
    </row>
    <row r="2" spans="2:6" ht="16.2" thickBot="1" x14ac:dyDescent="0.35">
      <c r="B2" s="90"/>
      <c r="C2" s="90"/>
      <c r="D2" s="90"/>
      <c r="E2" s="90"/>
      <c r="F2" s="90"/>
    </row>
    <row r="3" spans="2:6" ht="16.2" thickBot="1" x14ac:dyDescent="0.35">
      <c r="B3" s="407" t="s">
        <v>62</v>
      </c>
      <c r="C3" s="408"/>
      <c r="D3" s="408"/>
      <c r="E3" s="102" t="s">
        <v>63</v>
      </c>
      <c r="F3" s="103" t="s">
        <v>64</v>
      </c>
    </row>
    <row r="4" spans="2:6" ht="31.2" x14ac:dyDescent="0.3">
      <c r="B4" s="409" t="s">
        <v>65</v>
      </c>
      <c r="C4" s="411" t="s">
        <v>12</v>
      </c>
      <c r="D4" s="91" t="s">
        <v>13</v>
      </c>
      <c r="E4" s="92" t="s">
        <v>66</v>
      </c>
      <c r="F4" s="93">
        <v>0.25</v>
      </c>
    </row>
    <row r="5" spans="2:6" ht="46.8" x14ac:dyDescent="0.3">
      <c r="B5" s="410"/>
      <c r="C5" s="412"/>
      <c r="D5" s="94" t="s">
        <v>14</v>
      </c>
      <c r="E5" s="95" t="s">
        <v>67</v>
      </c>
      <c r="F5" s="96">
        <v>0.15</v>
      </c>
    </row>
    <row r="6" spans="2:6" ht="46.8" x14ac:dyDescent="0.3">
      <c r="B6" s="410"/>
      <c r="C6" s="412"/>
      <c r="D6" s="94" t="s">
        <v>15</v>
      </c>
      <c r="E6" s="95" t="s">
        <v>68</v>
      </c>
      <c r="F6" s="96">
        <v>0.1</v>
      </c>
    </row>
    <row r="7" spans="2:6" ht="62.4" x14ac:dyDescent="0.3">
      <c r="B7" s="410"/>
      <c r="C7" s="412" t="s">
        <v>16</v>
      </c>
      <c r="D7" s="94" t="s">
        <v>9</v>
      </c>
      <c r="E7" s="95" t="s">
        <v>69</v>
      </c>
      <c r="F7" s="96">
        <v>0.25</v>
      </c>
    </row>
    <row r="8" spans="2:6" ht="31.2" x14ac:dyDescent="0.3">
      <c r="B8" s="410"/>
      <c r="C8" s="412"/>
      <c r="D8" s="94" t="s">
        <v>8</v>
      </c>
      <c r="E8" s="95" t="s">
        <v>70</v>
      </c>
      <c r="F8" s="96">
        <v>0.15</v>
      </c>
    </row>
    <row r="9" spans="2:6" ht="46.8" x14ac:dyDescent="0.3">
      <c r="B9" s="410" t="s">
        <v>145</v>
      </c>
      <c r="C9" s="412" t="s">
        <v>17</v>
      </c>
      <c r="D9" s="94" t="s">
        <v>18</v>
      </c>
      <c r="E9" s="95" t="s">
        <v>71</v>
      </c>
      <c r="F9" s="97" t="s">
        <v>72</v>
      </c>
    </row>
    <row r="10" spans="2:6" ht="46.8" x14ac:dyDescent="0.3">
      <c r="B10" s="410"/>
      <c r="C10" s="412"/>
      <c r="D10" s="94" t="s">
        <v>19</v>
      </c>
      <c r="E10" s="95" t="s">
        <v>73</v>
      </c>
      <c r="F10" s="97" t="s">
        <v>72</v>
      </c>
    </row>
    <row r="11" spans="2:6" ht="46.8" x14ac:dyDescent="0.3">
      <c r="B11" s="410"/>
      <c r="C11" s="412" t="s">
        <v>20</v>
      </c>
      <c r="D11" s="94" t="s">
        <v>21</v>
      </c>
      <c r="E11" s="95" t="s">
        <v>74</v>
      </c>
      <c r="F11" s="97" t="s">
        <v>72</v>
      </c>
    </row>
    <row r="12" spans="2:6" ht="46.8" x14ac:dyDescent="0.3">
      <c r="B12" s="410"/>
      <c r="C12" s="412"/>
      <c r="D12" s="94" t="s">
        <v>22</v>
      </c>
      <c r="E12" s="95" t="s">
        <v>75</v>
      </c>
      <c r="F12" s="97" t="s">
        <v>72</v>
      </c>
    </row>
    <row r="13" spans="2:6" ht="31.2" x14ac:dyDescent="0.3">
      <c r="B13" s="410"/>
      <c r="C13" s="412" t="s">
        <v>23</v>
      </c>
      <c r="D13" s="94" t="s">
        <v>111</v>
      </c>
      <c r="E13" s="95" t="s">
        <v>114</v>
      </c>
      <c r="F13" s="97" t="s">
        <v>72</v>
      </c>
    </row>
    <row r="14" spans="2:6" ht="16.2" thickBot="1" x14ac:dyDescent="0.35">
      <c r="B14" s="413"/>
      <c r="C14" s="414"/>
      <c r="D14" s="98" t="s">
        <v>112</v>
      </c>
      <c r="E14" s="99" t="s">
        <v>113</v>
      </c>
      <c r="F14" s="100" t="s">
        <v>72</v>
      </c>
    </row>
    <row r="15" spans="2:6" ht="49.5" customHeight="1" x14ac:dyDescent="0.3">
      <c r="B15" s="406" t="s">
        <v>142</v>
      </c>
      <c r="C15" s="406"/>
      <c r="D15" s="406"/>
      <c r="E15" s="406"/>
      <c r="F15" s="406"/>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D1" zoomScaleNormal="100" workbookViewId="0">
      <selection activeCell="E2" sqref="E2"/>
    </sheetView>
  </sheetViews>
  <sheetFormatPr baseColWidth="10" defaultRowHeight="14.4" x14ac:dyDescent="0.3"/>
  <cols>
    <col min="1" max="1" width="57.77734375" customWidth="1"/>
    <col min="3" max="3" width="32" bestFit="1" customWidth="1"/>
    <col min="4" max="4" width="119.33203125" bestFit="1" customWidth="1"/>
    <col min="5" max="5" width="81" customWidth="1"/>
  </cols>
  <sheetData>
    <row r="1" spans="1:5" ht="15" thickBot="1" x14ac:dyDescent="0.35">
      <c r="A1" s="144" t="s">
        <v>175</v>
      </c>
      <c r="D1" s="415" t="s">
        <v>176</v>
      </c>
      <c r="E1" s="416"/>
    </row>
    <row r="2" spans="1:5" x14ac:dyDescent="0.3">
      <c r="A2" s="153" t="s">
        <v>270</v>
      </c>
      <c r="D2" s="417" t="s">
        <v>177</v>
      </c>
      <c r="E2" s="152" t="s">
        <v>247</v>
      </c>
    </row>
    <row r="3" spans="1:5" x14ac:dyDescent="0.3">
      <c r="A3" s="154" t="s">
        <v>271</v>
      </c>
      <c r="D3" s="418"/>
      <c r="E3" s="152" t="s">
        <v>248</v>
      </c>
    </row>
    <row r="4" spans="1:5" x14ac:dyDescent="0.3">
      <c r="A4" s="154" t="s">
        <v>272</v>
      </c>
      <c r="D4" s="418"/>
      <c r="E4" s="152" t="s">
        <v>249</v>
      </c>
    </row>
    <row r="5" spans="1:5" x14ac:dyDescent="0.3">
      <c r="A5" s="155" t="s">
        <v>273</v>
      </c>
      <c r="D5" s="419"/>
      <c r="E5" s="152" t="s">
        <v>250</v>
      </c>
    </row>
    <row r="6" spans="1:5" x14ac:dyDescent="0.3">
      <c r="A6" s="156" t="s">
        <v>274</v>
      </c>
      <c r="D6" s="417" t="s">
        <v>178</v>
      </c>
      <c r="E6" s="152" t="s">
        <v>251</v>
      </c>
    </row>
    <row r="7" spans="1:5" x14ac:dyDescent="0.3">
      <c r="A7" s="156" t="s">
        <v>275</v>
      </c>
      <c r="D7" s="418"/>
      <c r="E7" s="152" t="s">
        <v>252</v>
      </c>
    </row>
    <row r="8" spans="1:5" x14ac:dyDescent="0.3">
      <c r="A8" s="155" t="s">
        <v>276</v>
      </c>
      <c r="D8" s="418"/>
      <c r="E8" s="152" t="s">
        <v>253</v>
      </c>
    </row>
    <row r="9" spans="1:5" x14ac:dyDescent="0.3">
      <c r="A9" s="155" t="s">
        <v>277</v>
      </c>
      <c r="D9" s="417" t="s">
        <v>179</v>
      </c>
      <c r="E9" s="152" t="s">
        <v>254</v>
      </c>
    </row>
    <row r="10" spans="1:5" x14ac:dyDescent="0.3">
      <c r="A10" s="157" t="s">
        <v>278</v>
      </c>
      <c r="D10" s="418"/>
      <c r="E10" s="152" t="s">
        <v>255</v>
      </c>
    </row>
    <row r="11" spans="1:5" x14ac:dyDescent="0.3">
      <c r="A11" s="157" t="s">
        <v>279</v>
      </c>
      <c r="D11" s="417" t="s">
        <v>180</v>
      </c>
      <c r="E11" s="152" t="s">
        <v>256</v>
      </c>
    </row>
    <row r="12" spans="1:5" x14ac:dyDescent="0.3">
      <c r="A12" s="157" t="s">
        <v>280</v>
      </c>
      <c r="D12" s="418"/>
      <c r="E12" s="152" t="s">
        <v>257</v>
      </c>
    </row>
    <row r="13" spans="1:5" x14ac:dyDescent="0.3">
      <c r="A13" s="157" t="s">
        <v>281</v>
      </c>
      <c r="D13" s="419"/>
      <c r="E13" s="152" t="s">
        <v>258</v>
      </c>
    </row>
    <row r="14" spans="1:5" x14ac:dyDescent="0.3">
      <c r="A14" s="157" t="s">
        <v>282</v>
      </c>
      <c r="E14" s="152" t="s">
        <v>259</v>
      </c>
    </row>
    <row r="15" spans="1:5" x14ac:dyDescent="0.3">
      <c r="A15" s="157" t="s">
        <v>283</v>
      </c>
      <c r="D15" s="146" t="s">
        <v>184</v>
      </c>
      <c r="E15" s="152" t="s">
        <v>260</v>
      </c>
    </row>
    <row r="16" spans="1:5" x14ac:dyDescent="0.3">
      <c r="A16" s="157" t="s">
        <v>284</v>
      </c>
      <c r="D16" s="147" t="s">
        <v>185</v>
      </c>
      <c r="E16" s="152" t="s">
        <v>261</v>
      </c>
    </row>
    <row r="17" spans="1:7" ht="15" thickBot="1" x14ac:dyDescent="0.35">
      <c r="A17" s="158" t="s">
        <v>285</v>
      </c>
      <c r="D17" s="147" t="s">
        <v>186</v>
      </c>
      <c r="E17" s="152" t="s">
        <v>262</v>
      </c>
    </row>
    <row r="18" spans="1:7" x14ac:dyDescent="0.3">
      <c r="A18" s="145"/>
      <c r="D18" s="147" t="s">
        <v>187</v>
      </c>
      <c r="E18" s="152" t="s">
        <v>263</v>
      </c>
    </row>
    <row r="19" spans="1:7" x14ac:dyDescent="0.3">
      <c r="A19" s="145"/>
      <c r="D19" s="147" t="s">
        <v>188</v>
      </c>
      <c r="E19" s="152" t="s">
        <v>264</v>
      </c>
    </row>
    <row r="20" spans="1:7" x14ac:dyDescent="0.3">
      <c r="A20" s="145"/>
      <c r="D20" s="147" t="s">
        <v>189</v>
      </c>
      <c r="E20" s="152" t="s">
        <v>265</v>
      </c>
    </row>
    <row r="21" spans="1:7" x14ac:dyDescent="0.3">
      <c r="A21" s="147"/>
      <c r="D21" s="147" t="s">
        <v>190</v>
      </c>
      <c r="E21" s="152" t="s">
        <v>266</v>
      </c>
    </row>
    <row r="22" spans="1:7" x14ac:dyDescent="0.3">
      <c r="A22" s="145"/>
      <c r="D22" s="147" t="s">
        <v>191</v>
      </c>
      <c r="E22" s="152" t="s">
        <v>267</v>
      </c>
    </row>
    <row r="23" spans="1:7" x14ac:dyDescent="0.3">
      <c r="A23" s="151"/>
      <c r="E23" s="152" t="s">
        <v>268</v>
      </c>
    </row>
    <row r="24" spans="1:7" x14ac:dyDescent="0.3">
      <c r="A24" s="146" t="s">
        <v>192</v>
      </c>
      <c r="E24" s="152" t="s">
        <v>269</v>
      </c>
    </row>
    <row r="25" spans="1:7" ht="20.399999999999999" x14ac:dyDescent="0.3">
      <c r="A25" s="147" t="s">
        <v>185</v>
      </c>
      <c r="B25" s="30"/>
    </row>
    <row r="26" spans="1:7" ht="21" x14ac:dyDescent="0.4">
      <c r="A26" s="147" t="s">
        <v>186</v>
      </c>
      <c r="B26" s="31"/>
      <c r="F26" t="s">
        <v>87</v>
      </c>
      <c r="G26" t="str">
        <f>IF(NOT(ISERROR(MATCH(F26,_xlfn.ANCHORARRAY(A37),0))),E39&amp;"Por favor no seleccionar los criterios de impacto",F26)</f>
        <v>Afectación Económica o presupuestal</v>
      </c>
    </row>
    <row r="27" spans="1:7" ht="21" x14ac:dyDescent="0.4">
      <c r="A27" s="147" t="s">
        <v>187</v>
      </c>
      <c r="B27" s="31"/>
    </row>
    <row r="28" spans="1:7" ht="21" x14ac:dyDescent="0.4">
      <c r="A28" s="147" t="s">
        <v>188</v>
      </c>
      <c r="B28" s="31"/>
    </row>
    <row r="29" spans="1:7" ht="21" x14ac:dyDescent="0.4">
      <c r="A29" s="147" t="s">
        <v>189</v>
      </c>
      <c r="B29" s="31"/>
    </row>
    <row r="30" spans="1:7" ht="21" x14ac:dyDescent="0.4">
      <c r="A30" s="147" t="s">
        <v>190</v>
      </c>
      <c r="B30" s="31"/>
    </row>
    <row r="31" spans="1:7" ht="21" x14ac:dyDescent="0.4">
      <c r="A31" s="147" t="s">
        <v>191</v>
      </c>
      <c r="B31" s="31"/>
    </row>
    <row r="32" spans="1:7" ht="21" x14ac:dyDescent="0.4">
      <c r="A32" s="31"/>
      <c r="B32" s="31"/>
    </row>
    <row r="33" spans="1:2" ht="21" x14ac:dyDescent="0.4">
      <c r="A33" s="31"/>
      <c r="B33" s="31"/>
    </row>
    <row r="34" spans="1:2" ht="21" x14ac:dyDescent="0.4">
      <c r="A34" s="31"/>
      <c r="B34" s="31"/>
    </row>
    <row r="35" spans="1:2" ht="21" x14ac:dyDescent="0.4">
      <c r="A35" s="31"/>
      <c r="B35" s="31"/>
    </row>
    <row r="36" spans="1:2" x14ac:dyDescent="0.3">
      <c r="A36" s="32"/>
      <c r="B36" s="32"/>
    </row>
  </sheetData>
  <mergeCells count="5">
    <mergeCell ref="D1:E1"/>
    <mergeCell ref="D2:D5"/>
    <mergeCell ref="D6:D8"/>
    <mergeCell ref="D9:D10"/>
    <mergeCell ref="D11:D13"/>
  </mergeCells>
  <conditionalFormatting sqref="E2:E24">
    <cfRule type="duplicateValues" dxfId="0" priority="1"/>
  </conditionalFormatting>
  <dataValidations count="1">
    <dataValidation type="list" allowBlank="1" showInputMessage="1" showErrorMessage="1" sqref="F26">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B20" sqref="B20"/>
    </sheetView>
  </sheetViews>
  <sheetFormatPr baseColWidth="10" defaultRowHeight="14.4" x14ac:dyDescent="0.3"/>
  <sheetData>
    <row r="2" spans="2:5" x14ac:dyDescent="0.3">
      <c r="B2" t="s">
        <v>30</v>
      </c>
      <c r="E2" t="s">
        <v>117</v>
      </c>
    </row>
    <row r="3" spans="2:5" x14ac:dyDescent="0.3">
      <c r="B3" t="s">
        <v>31</v>
      </c>
      <c r="E3" t="s">
        <v>116</v>
      </c>
    </row>
    <row r="4" spans="2:5" x14ac:dyDescent="0.3">
      <c r="B4" t="s">
        <v>121</v>
      </c>
      <c r="E4" t="s">
        <v>118</v>
      </c>
    </row>
    <row r="5" spans="2:5" x14ac:dyDescent="0.3">
      <c r="B5" t="s">
        <v>120</v>
      </c>
    </row>
    <row r="8" spans="2:5" x14ac:dyDescent="0.3">
      <c r="B8" t="s">
        <v>83</v>
      </c>
    </row>
    <row r="9" spans="2:5" x14ac:dyDescent="0.3">
      <c r="B9" t="s">
        <v>39</v>
      </c>
    </row>
    <row r="10" spans="2:5" x14ac:dyDescent="0.3">
      <c r="B10" t="s">
        <v>40</v>
      </c>
    </row>
    <row r="11" spans="2:5" x14ac:dyDescent="0.3">
      <c r="B11" t="s">
        <v>211</v>
      </c>
    </row>
    <row r="13" spans="2:5" x14ac:dyDescent="0.3">
      <c r="B13" t="s">
        <v>212</v>
      </c>
    </row>
    <row r="14" spans="2:5" x14ac:dyDescent="0.3">
      <c r="B14" t="s">
        <v>213</v>
      </c>
    </row>
    <row r="15" spans="2:5" x14ac:dyDescent="0.3">
      <c r="B15" t="s">
        <v>214</v>
      </c>
    </row>
    <row r="16" spans="2:5" x14ac:dyDescent="0.3">
      <c r="B16" t="s">
        <v>215</v>
      </c>
    </row>
    <row r="17" spans="2:2" x14ac:dyDescent="0.3">
      <c r="B17" t="s">
        <v>216</v>
      </c>
    </row>
    <row r="18" spans="2:2" x14ac:dyDescent="0.3">
      <c r="B18" t="s">
        <v>217</v>
      </c>
    </row>
    <row r="19" spans="2:2" x14ac:dyDescent="0.3">
      <c r="B19" t="s">
        <v>218</v>
      </c>
    </row>
  </sheetData>
  <sortState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Patricia</cp:lastModifiedBy>
  <cp:lastPrinted>2020-05-13T01:12:22Z</cp:lastPrinted>
  <dcterms:created xsi:type="dcterms:W3CDTF">2020-03-24T23:12:47Z</dcterms:created>
  <dcterms:modified xsi:type="dcterms:W3CDTF">2022-10-07T19:54:35Z</dcterms:modified>
</cp:coreProperties>
</file>